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480" windowHeight="7350" activeTab="1"/>
  </bookViews>
  <sheets>
    <sheet name="Объем ТКО" sheetId="11" r:id="rId1"/>
    <sheet name="тариф ТКО 2017-2019 (индекс.)" sheetId="13" r:id="rId2"/>
  </sheets>
  <calcPr calcId="145621"/>
</workbook>
</file>

<file path=xl/calcChain.xml><?xml version="1.0" encoding="utf-8"?>
<calcChain xmlns="http://schemas.openxmlformats.org/spreadsheetml/2006/main">
  <c r="I63" i="13" l="1"/>
  <c r="I57" i="13"/>
  <c r="I103" i="13"/>
  <c r="J126" i="13" l="1"/>
  <c r="D122" i="13" l="1"/>
  <c r="L29" i="13"/>
  <c r="I53" i="13"/>
  <c r="L53" i="13" s="1"/>
  <c r="M53" i="13" s="1"/>
  <c r="M47" i="13"/>
  <c r="L47" i="13"/>
  <c r="M99" i="13"/>
  <c r="L99" i="13"/>
  <c r="L98" i="13"/>
  <c r="M98" i="13" s="1"/>
  <c r="M97" i="13"/>
  <c r="L97" i="13"/>
  <c r="M96" i="13"/>
  <c r="L96" i="13"/>
  <c r="M95" i="13"/>
  <c r="M94" i="13"/>
  <c r="L94" i="13"/>
  <c r="M93" i="13"/>
  <c r="L93" i="13"/>
  <c r="L92" i="13"/>
  <c r="M91" i="13"/>
  <c r="L91" i="13"/>
  <c r="M90" i="13"/>
  <c r="L90" i="13"/>
  <c r="L89" i="13" s="1"/>
  <c r="M89" i="13"/>
  <c r="M88" i="13"/>
  <c r="L88" i="13"/>
  <c r="L86" i="13" s="1"/>
  <c r="M87" i="13"/>
  <c r="M86" i="13" s="1"/>
  <c r="L87" i="13"/>
  <c r="M85" i="13"/>
  <c r="L85" i="13"/>
  <c r="M84" i="13"/>
  <c r="L84" i="13"/>
  <c r="L74" i="13"/>
  <c r="M74" i="13" s="1"/>
  <c r="M73" i="13"/>
  <c r="L73" i="13"/>
  <c r="M71" i="13"/>
  <c r="M68" i="13" s="1"/>
  <c r="L71" i="13"/>
  <c r="L68" i="13" s="1"/>
  <c r="L64" i="13" s="1"/>
  <c r="L63" i="13"/>
  <c r="M63" i="13" s="1"/>
  <c r="L62" i="13"/>
  <c r="M62" i="13" s="1"/>
  <c r="L61" i="13"/>
  <c r="M61" i="13" s="1"/>
  <c r="L60" i="13"/>
  <c r="M60" i="13" s="1"/>
  <c r="L59" i="13"/>
  <c r="M59" i="13" s="1"/>
  <c r="L58" i="13"/>
  <c r="M58" i="13" s="1"/>
  <c r="L57" i="13"/>
  <c r="M57" i="13" s="1"/>
  <c r="M29" i="13" s="1"/>
  <c r="L56" i="13"/>
  <c r="M56" i="13" s="1"/>
  <c r="L55" i="13"/>
  <c r="M55" i="13" s="1"/>
  <c r="L54" i="13"/>
  <c r="M54" i="13" s="1"/>
  <c r="L52" i="13"/>
  <c r="M52" i="13" s="1"/>
  <c r="L51" i="13"/>
  <c r="M51" i="13" s="1"/>
  <c r="L50" i="13"/>
  <c r="L48" i="13"/>
  <c r="M48" i="13" s="1"/>
  <c r="M45" i="13"/>
  <c r="L45" i="13"/>
  <c r="L44" i="13"/>
  <c r="L46" i="13" s="1"/>
  <c r="M42" i="13"/>
  <c r="L42" i="13"/>
  <c r="L41" i="13"/>
  <c r="L43" i="13" s="1"/>
  <c r="M39" i="13"/>
  <c r="L39" i="13"/>
  <c r="L38" i="13"/>
  <c r="M38" i="13" s="1"/>
  <c r="M40" i="13" s="1"/>
  <c r="M36" i="13"/>
  <c r="L36" i="13"/>
  <c r="L35" i="13"/>
  <c r="L34" i="13" s="1"/>
  <c r="L33" i="13"/>
  <c r="M33" i="13" s="1"/>
  <c r="L32" i="13"/>
  <c r="L31" i="13" s="1"/>
  <c r="L30" i="13"/>
  <c r="M30" i="13" s="1"/>
  <c r="L21" i="13"/>
  <c r="L20" i="13" s="1"/>
  <c r="M21" i="13"/>
  <c r="M20" i="13" s="1"/>
  <c r="L22" i="13"/>
  <c r="M22" i="13"/>
  <c r="L24" i="13"/>
  <c r="L23" i="13" s="1"/>
  <c r="M24" i="13"/>
  <c r="L25" i="13"/>
  <c r="M25" i="13"/>
  <c r="M23" i="13" s="1"/>
  <c r="I73" i="13"/>
  <c r="H63" i="13"/>
  <c r="H34" i="13"/>
  <c r="H47" i="13"/>
  <c r="G63" i="13"/>
  <c r="G29" i="13" s="1"/>
  <c r="G34" i="13"/>
  <c r="G47" i="13"/>
  <c r="E46" i="13"/>
  <c r="I45" i="13"/>
  <c r="I44" i="13"/>
  <c r="I25" i="13"/>
  <c r="I24" i="13"/>
  <c r="I21" i="13"/>
  <c r="L95" i="13" l="1"/>
  <c r="M92" i="13"/>
  <c r="M81" i="13"/>
  <c r="L82" i="13"/>
  <c r="L81" i="13" s="1"/>
  <c r="L49" i="13"/>
  <c r="M64" i="13"/>
  <c r="M50" i="13"/>
  <c r="M49" i="13" s="1"/>
  <c r="L37" i="13"/>
  <c r="M35" i="13"/>
  <c r="M41" i="13"/>
  <c r="M43" i="13" s="1"/>
  <c r="L40" i="13"/>
  <c r="M44" i="13"/>
  <c r="M46" i="13" s="1"/>
  <c r="M32" i="13"/>
  <c r="M31" i="13" s="1"/>
  <c r="I48" i="13"/>
  <c r="I33" i="13"/>
  <c r="I32" i="13"/>
  <c r="I30" i="13"/>
  <c r="I16" i="13"/>
  <c r="I13" i="13"/>
  <c r="I12" i="13"/>
  <c r="I15" i="13"/>
  <c r="M34" i="13" l="1"/>
  <c r="M37" i="13"/>
  <c r="L28" i="13"/>
  <c r="I42" i="13"/>
  <c r="I39" i="13"/>
  <c r="I36" i="13"/>
  <c r="M7" i="13"/>
  <c r="L7" i="13"/>
  <c r="K7" i="13"/>
  <c r="J7" i="13"/>
  <c r="I7" i="13"/>
  <c r="H7" i="13"/>
  <c r="G7" i="13"/>
  <c r="F7" i="13"/>
  <c r="E7" i="13"/>
  <c r="D7" i="13"/>
  <c r="M28" i="13" l="1"/>
  <c r="N20" i="11"/>
  <c r="M20" i="11"/>
  <c r="N17" i="11"/>
  <c r="M17" i="11"/>
  <c r="L20" i="11"/>
  <c r="K20" i="11"/>
  <c r="L17" i="11"/>
  <c r="K17" i="11"/>
  <c r="J20" i="11"/>
  <c r="I20" i="11"/>
  <c r="J17" i="11"/>
  <c r="I17" i="11"/>
  <c r="H20" i="11"/>
  <c r="G20" i="11"/>
  <c r="H17" i="11"/>
  <c r="G17" i="11"/>
  <c r="E20" i="11"/>
  <c r="E17" i="11"/>
  <c r="D20" i="11"/>
  <c r="D17" i="11"/>
  <c r="N11" i="11"/>
  <c r="M11" i="11"/>
  <c r="N8" i="11"/>
  <c r="M8" i="11"/>
  <c r="L11" i="11"/>
  <c r="K11" i="11"/>
  <c r="L8" i="11"/>
  <c r="K8" i="11"/>
  <c r="J11" i="11"/>
  <c r="I11" i="11"/>
  <c r="J8" i="11"/>
  <c r="I8" i="11"/>
  <c r="H11" i="11"/>
  <c r="G11" i="11"/>
  <c r="H8" i="11"/>
  <c r="G8" i="11"/>
  <c r="E11" i="11"/>
  <c r="E8" i="11"/>
  <c r="D11" i="11"/>
  <c r="D8" i="11"/>
  <c r="H23" i="13"/>
  <c r="H20" i="13"/>
  <c r="G23" i="13"/>
  <c r="G20" i="13"/>
  <c r="E23" i="13"/>
  <c r="E20" i="13"/>
  <c r="H14" i="13"/>
  <c r="H11" i="13"/>
  <c r="G14" i="13"/>
  <c r="I14" i="13" s="1"/>
  <c r="G11" i="13"/>
  <c r="E14" i="13"/>
  <c r="D11" i="13"/>
  <c r="J24" i="13" l="1"/>
  <c r="J23" i="13"/>
  <c r="K71" i="13"/>
  <c r="K70" i="13"/>
  <c r="K69" i="13"/>
  <c r="K67" i="13"/>
  <c r="K66" i="13"/>
  <c r="I101" i="13"/>
  <c r="H101" i="13"/>
  <c r="H100" i="13" s="1"/>
  <c r="I95" i="13"/>
  <c r="H95" i="13"/>
  <c r="I92" i="13"/>
  <c r="H92" i="13"/>
  <c r="I89" i="13"/>
  <c r="H89" i="13"/>
  <c r="I86" i="13"/>
  <c r="H86" i="13"/>
  <c r="I83" i="13"/>
  <c r="H83" i="13"/>
  <c r="K83" i="13" s="1"/>
  <c r="I78" i="13"/>
  <c r="H78" i="13"/>
  <c r="I68" i="13"/>
  <c r="H68" i="13"/>
  <c r="I65" i="13"/>
  <c r="H65" i="13"/>
  <c r="I60" i="13"/>
  <c r="H60" i="13"/>
  <c r="H49" i="13"/>
  <c r="H44" i="13"/>
  <c r="H41" i="13"/>
  <c r="I41" i="13" s="1"/>
  <c r="H38" i="13"/>
  <c r="I38" i="13" s="1"/>
  <c r="H35" i="13"/>
  <c r="I31" i="13"/>
  <c r="H31" i="13"/>
  <c r="I23" i="13"/>
  <c r="I20" i="13"/>
  <c r="I11" i="13"/>
  <c r="D14" i="13"/>
  <c r="D23" i="13"/>
  <c r="F22" i="13"/>
  <c r="D20" i="13"/>
  <c r="G101" i="13"/>
  <c r="G100" i="13" s="1"/>
  <c r="G95" i="13"/>
  <c r="G92" i="13"/>
  <c r="G89" i="13"/>
  <c r="G86" i="13"/>
  <c r="G83" i="13"/>
  <c r="G78" i="13"/>
  <c r="G68" i="13"/>
  <c r="G65" i="13"/>
  <c r="G60" i="13"/>
  <c r="G49" i="13"/>
  <c r="G44" i="13"/>
  <c r="G41" i="13"/>
  <c r="G38" i="13"/>
  <c r="G35" i="13"/>
  <c r="G31" i="13"/>
  <c r="E101" i="13"/>
  <c r="E100" i="13" s="1"/>
  <c r="E95" i="13"/>
  <c r="E92" i="13"/>
  <c r="E89" i="13"/>
  <c r="E86" i="13"/>
  <c r="E83" i="13"/>
  <c r="E78" i="13"/>
  <c r="E68" i="13"/>
  <c r="E65" i="13"/>
  <c r="E60" i="13"/>
  <c r="E49" i="13"/>
  <c r="E41" i="13"/>
  <c r="E38" i="13"/>
  <c r="E35" i="13"/>
  <c r="E34" i="13" s="1"/>
  <c r="E47" i="13" s="1"/>
  <c r="E31" i="13"/>
  <c r="F24" i="13"/>
  <c r="E11" i="13"/>
  <c r="D78" i="13"/>
  <c r="D60" i="13"/>
  <c r="D101" i="13"/>
  <c r="D100" i="13" s="1"/>
  <c r="D83" i="13"/>
  <c r="D95" i="13"/>
  <c r="D92" i="13"/>
  <c r="D89" i="13"/>
  <c r="D68" i="13"/>
  <c r="D49" i="13"/>
  <c r="D44" i="13"/>
  <c r="D41" i="13"/>
  <c r="D38" i="13"/>
  <c r="D31" i="13"/>
  <c r="D35" i="13"/>
  <c r="D34" i="13" s="1"/>
  <c r="D47" i="13" s="1"/>
  <c r="K103" i="13"/>
  <c r="K102" i="13"/>
  <c r="K88" i="13"/>
  <c r="K87" i="13"/>
  <c r="D86" i="13"/>
  <c r="K85" i="13"/>
  <c r="K84" i="13"/>
  <c r="K80" i="13"/>
  <c r="K79" i="13"/>
  <c r="K78" i="13"/>
  <c r="K77" i="13"/>
  <c r="K76" i="13"/>
  <c r="K75" i="13"/>
  <c r="K73" i="13"/>
  <c r="K72" i="13"/>
  <c r="D65" i="13"/>
  <c r="K63" i="13"/>
  <c r="K60" i="13"/>
  <c r="K27" i="13"/>
  <c r="K26" i="13"/>
  <c r="K25" i="13"/>
  <c r="K24" i="13"/>
  <c r="K18" i="13"/>
  <c r="M17" i="13"/>
  <c r="L17" i="13"/>
  <c r="K17" i="13"/>
  <c r="M16" i="13"/>
  <c r="L16" i="13"/>
  <c r="K16" i="13"/>
  <c r="M15" i="13"/>
  <c r="L15" i="13"/>
  <c r="K15" i="13"/>
  <c r="M12" i="13"/>
  <c r="M13" i="13"/>
  <c r="L13" i="13"/>
  <c r="K12" i="13"/>
  <c r="I100" i="13" l="1"/>
  <c r="K100" i="13" s="1"/>
  <c r="K101" i="13"/>
  <c r="H29" i="13"/>
  <c r="I49" i="13"/>
  <c r="F17" i="13"/>
  <c r="F13" i="13"/>
  <c r="F16" i="13"/>
  <c r="F12" i="13"/>
  <c r="F15" i="13"/>
  <c r="I40" i="13"/>
  <c r="F14" i="13"/>
  <c r="I47" i="13"/>
  <c r="I43" i="13"/>
  <c r="J17" i="13"/>
  <c r="J12" i="13"/>
  <c r="J13" i="13"/>
  <c r="J16" i="13"/>
  <c r="J15" i="13"/>
  <c r="I46" i="13"/>
  <c r="J14" i="13"/>
  <c r="D29" i="13"/>
  <c r="J22" i="13"/>
  <c r="J21" i="13"/>
  <c r="J20" i="13" s="1"/>
  <c r="I35" i="13"/>
  <c r="K31" i="13"/>
  <c r="E29" i="13"/>
  <c r="D64" i="13"/>
  <c r="E82" i="13"/>
  <c r="G64" i="13"/>
  <c r="K65" i="13"/>
  <c r="E64" i="13"/>
  <c r="K68" i="13"/>
  <c r="H64" i="13"/>
  <c r="H82" i="13"/>
  <c r="H81" i="13" s="1"/>
  <c r="F25" i="13"/>
  <c r="F21" i="13"/>
  <c r="F20" i="13" s="1"/>
  <c r="F23" i="13"/>
  <c r="I64" i="13"/>
  <c r="I82" i="13"/>
  <c r="I81" i="13" s="1"/>
  <c r="E81" i="13"/>
  <c r="G82" i="13"/>
  <c r="G81" i="13" s="1"/>
  <c r="D82" i="13"/>
  <c r="D81" i="13" s="1"/>
  <c r="F11" i="13"/>
  <c r="L12" i="13"/>
  <c r="L11" i="13" s="1"/>
  <c r="K23" i="13"/>
  <c r="K22" i="13"/>
  <c r="K11" i="13"/>
  <c r="K20" i="13"/>
  <c r="K74" i="13"/>
  <c r="K13" i="13"/>
  <c r="K14" i="13"/>
  <c r="M11" i="13"/>
  <c r="K30" i="13"/>
  <c r="K62" i="13"/>
  <c r="K86" i="13"/>
  <c r="K82" i="13" s="1"/>
  <c r="K36" i="13"/>
  <c r="H28" i="13" l="1"/>
  <c r="H110" i="13" s="1"/>
  <c r="J11" i="13"/>
  <c r="I34" i="13"/>
  <c r="I37" i="13"/>
  <c r="K37" i="13" s="1"/>
  <c r="K64" i="13"/>
  <c r="D28" i="13"/>
  <c r="E28" i="13"/>
  <c r="E110" i="13" s="1"/>
  <c r="F81" i="13" s="1"/>
  <c r="K59" i="13"/>
  <c r="K35" i="13"/>
  <c r="F20" i="11"/>
  <c r="F19" i="11" s="1"/>
  <c r="F17" i="11" s="1"/>
  <c r="P18" i="11"/>
  <c r="O18" i="11"/>
  <c r="F10" i="11"/>
  <c r="F8" i="11" s="1"/>
  <c r="H113" i="13" l="1"/>
  <c r="H115" i="13"/>
  <c r="J25" i="13"/>
  <c r="I29" i="13"/>
  <c r="I28" i="13" s="1"/>
  <c r="I110" i="13" s="1"/>
  <c r="D110" i="13"/>
  <c r="D115" i="13" s="1"/>
  <c r="H111" i="13"/>
  <c r="F49" i="13"/>
  <c r="F108" i="13"/>
  <c r="F105" i="13"/>
  <c r="F98" i="13"/>
  <c r="F82" i="13"/>
  <c r="F76" i="13"/>
  <c r="F72" i="13"/>
  <c r="F59" i="13"/>
  <c r="F55" i="13"/>
  <c r="F109" i="13"/>
  <c r="F95" i="13"/>
  <c r="F75" i="13"/>
  <c r="F71" i="13"/>
  <c r="F58" i="13"/>
  <c r="F54" i="13"/>
  <c r="F107" i="13"/>
  <c r="F74" i="13"/>
  <c r="F70" i="13"/>
  <c r="F63" i="13"/>
  <c r="F57" i="13"/>
  <c r="F106" i="13"/>
  <c r="F99" i="13"/>
  <c r="F77" i="13"/>
  <c r="F73" i="13"/>
  <c r="F69" i="13"/>
  <c r="F56" i="13"/>
  <c r="F100" i="13"/>
  <c r="F47" i="13"/>
  <c r="E113" i="13"/>
  <c r="F44" i="13"/>
  <c r="F78" i="13"/>
  <c r="F89" i="13"/>
  <c r="F48" i="13"/>
  <c r="F92" i="13"/>
  <c r="F64" i="13"/>
  <c r="F35" i="13"/>
  <c r="F31" i="13"/>
  <c r="F101" i="13"/>
  <c r="F41" i="13"/>
  <c r="E115" i="13"/>
  <c r="F60" i="13"/>
  <c r="F68" i="13"/>
  <c r="F34" i="13"/>
  <c r="F38" i="13"/>
  <c r="E111" i="13"/>
  <c r="E112" i="13" s="1"/>
  <c r="K61" i="13"/>
  <c r="K34" i="13"/>
  <c r="K29" i="13" s="1"/>
  <c r="K28" i="13" s="1"/>
  <c r="K110" i="13" s="1"/>
  <c r="I123" i="13" l="1"/>
  <c r="H112" i="13"/>
  <c r="H104" i="13"/>
  <c r="I115" i="13"/>
  <c r="J77" i="13"/>
  <c r="J34" i="13"/>
  <c r="J60" i="13"/>
  <c r="J108" i="13"/>
  <c r="J82" i="13"/>
  <c r="J70" i="13"/>
  <c r="J38" i="13"/>
  <c r="J49" i="13"/>
  <c r="J99" i="13"/>
  <c r="J76" i="13"/>
  <c r="J86" i="13"/>
  <c r="J55" i="13"/>
  <c r="J100" i="13"/>
  <c r="J30" i="13"/>
  <c r="J63" i="13"/>
  <c r="J44" i="13"/>
  <c r="J65" i="13"/>
  <c r="I111" i="13"/>
  <c r="J74" i="13"/>
  <c r="J75" i="13"/>
  <c r="J68" i="13"/>
  <c r="J56" i="13"/>
  <c r="J57" i="13"/>
  <c r="J105" i="13"/>
  <c r="J64" i="13"/>
  <c r="J106" i="13"/>
  <c r="J92" i="13"/>
  <c r="J95" i="13"/>
  <c r="J48" i="13"/>
  <c r="J31" i="13"/>
  <c r="J73" i="13"/>
  <c r="J109" i="13"/>
  <c r="J54" i="13"/>
  <c r="J89" i="13"/>
  <c r="J59" i="13"/>
  <c r="J107" i="13"/>
  <c r="J81" i="13"/>
  <c r="J101" i="13"/>
  <c r="J47" i="13"/>
  <c r="J72" i="13"/>
  <c r="J41" i="13"/>
  <c r="J69" i="13"/>
  <c r="J98" i="13"/>
  <c r="I113" i="13"/>
  <c r="J58" i="13"/>
  <c r="J78" i="13"/>
  <c r="J35" i="13"/>
  <c r="J71" i="13"/>
  <c r="D113" i="13"/>
  <c r="D111" i="13"/>
  <c r="D112" i="13" s="1"/>
  <c r="K111" i="13"/>
  <c r="F30" i="13"/>
  <c r="F29" i="13" s="1"/>
  <c r="F28" i="13" s="1"/>
  <c r="F110" i="13" s="1"/>
  <c r="F65" i="13"/>
  <c r="F86" i="13"/>
  <c r="I112" i="13" l="1"/>
  <c r="I104" i="13"/>
  <c r="J29" i="13"/>
  <c r="J28" i="13" s="1"/>
  <c r="J110" i="13" s="1"/>
  <c r="J111" i="13" s="1"/>
  <c r="F113" i="13"/>
  <c r="F111" i="13"/>
  <c r="F112" i="13" s="1"/>
  <c r="P19" i="11"/>
  <c r="M104" i="13" l="1"/>
  <c r="L104" i="13"/>
  <c r="G28" i="13" l="1"/>
  <c r="G110" i="13" s="1"/>
  <c r="G115" i="13" s="1"/>
  <c r="I128" i="13" s="1"/>
  <c r="I129" i="13" s="1"/>
  <c r="I130" i="13" s="1"/>
  <c r="I131" i="13" s="1"/>
  <c r="G111" i="13" l="1"/>
  <c r="G112" i="13" s="1"/>
  <c r="G113" i="13"/>
  <c r="I124" i="13" l="1"/>
  <c r="I125" i="13" s="1"/>
  <c r="I126" i="13" s="1"/>
  <c r="I121" i="13"/>
  <c r="I122" i="13" s="1"/>
  <c r="H114" i="13"/>
  <c r="I114" i="13"/>
  <c r="M110" i="13"/>
  <c r="M115" i="13" s="1"/>
  <c r="I127" i="13" l="1"/>
  <c r="L124" i="13"/>
  <c r="M123" i="13"/>
  <c r="M111" i="13"/>
  <c r="M112" i="13" s="1"/>
  <c r="M113" i="13"/>
  <c r="L110" i="13"/>
  <c r="L115" i="13" s="1"/>
  <c r="L123" i="13" l="1"/>
  <c r="L125" i="13"/>
  <c r="L126" i="13" s="1"/>
  <c r="M103" i="13"/>
  <c r="M101" i="13" s="1"/>
  <c r="L111" i="13"/>
  <c r="L112" i="13" s="1"/>
  <c r="L113" i="13"/>
  <c r="M121" i="13" l="1"/>
  <c r="M122" i="13" s="1"/>
  <c r="L121" i="13"/>
  <c r="L122" i="13" s="1"/>
  <c r="L103" i="13"/>
  <c r="L101" i="13" s="1"/>
  <c r="L127" i="13"/>
  <c r="M124" i="13"/>
  <c r="M125" i="13" s="1"/>
  <c r="M126" i="13" s="1"/>
  <c r="M127" i="13" s="1"/>
  <c r="L114" i="13"/>
  <c r="M114" i="13"/>
</calcChain>
</file>

<file path=xl/sharedStrings.xml><?xml version="1.0" encoding="utf-8"?>
<sst xmlns="http://schemas.openxmlformats.org/spreadsheetml/2006/main" count="429" uniqueCount="218">
  <si>
    <t xml:space="preserve">N п/п                  </t>
  </si>
  <si>
    <t xml:space="preserve">      Наименование                                                                                     </t>
  </si>
  <si>
    <t xml:space="preserve"> Единица   измерений             </t>
  </si>
  <si>
    <t xml:space="preserve">            2            </t>
  </si>
  <si>
    <t xml:space="preserve">    3     </t>
  </si>
  <si>
    <t xml:space="preserve">тыс. руб. </t>
  </si>
  <si>
    <t>%</t>
  </si>
  <si>
    <t>Низкое напряжение</t>
  </si>
  <si>
    <t>т.руб.</t>
  </si>
  <si>
    <t>количество (низкое)</t>
  </si>
  <si>
    <t>тыс. кВтч</t>
  </si>
  <si>
    <t>цена за 1 кВтч</t>
  </si>
  <si>
    <t>руб.</t>
  </si>
  <si>
    <t>Среднее 2</t>
  </si>
  <si>
    <t>количество (среднее 2)</t>
  </si>
  <si>
    <t>чел.</t>
  </si>
  <si>
    <t>тыс. руб.</t>
  </si>
  <si>
    <t>Итого с/ст</t>
  </si>
  <si>
    <t xml:space="preserve"> Темп роста тарифа</t>
  </si>
  <si>
    <t xml:space="preserve">    %    </t>
  </si>
  <si>
    <t>тыс.руб.</t>
  </si>
  <si>
    <t>4</t>
  </si>
  <si>
    <t xml:space="preserve"> тыс.руб. </t>
  </si>
  <si>
    <t>1</t>
  </si>
  <si>
    <t xml:space="preserve">  Текущие расходы    </t>
  </si>
  <si>
    <t>1.1</t>
  </si>
  <si>
    <t xml:space="preserve">   Операционные       расходы              </t>
  </si>
  <si>
    <t>1.1.1.</t>
  </si>
  <si>
    <t>1.3.1.</t>
  </si>
  <si>
    <t>1.3.2.</t>
  </si>
  <si>
    <t>1.2.</t>
  </si>
  <si>
    <t>Раходы на электрическую энергию</t>
  </si>
  <si>
    <t>1.3.</t>
  </si>
  <si>
    <t xml:space="preserve">Неподконтрольные    расходы            </t>
  </si>
  <si>
    <t xml:space="preserve">Налоги и сборы     </t>
  </si>
  <si>
    <t xml:space="preserve">  Налог на прибыль (УСНО)</t>
  </si>
  <si>
    <t xml:space="preserve">  Налог          на имущество           организаций        </t>
  </si>
  <si>
    <t xml:space="preserve">  Земельный налог и арендная  плата  за землю              </t>
  </si>
  <si>
    <t xml:space="preserve">  Транспортный      налог              </t>
  </si>
  <si>
    <t xml:space="preserve">Арендная          и концессионная       плата,   лизинговые платежи            </t>
  </si>
  <si>
    <t xml:space="preserve">Расходы          на компенсацию         экономически        обоснованных        расходов           </t>
  </si>
  <si>
    <t xml:space="preserve">Займы   и   кредиты (для         метода индексации)        </t>
  </si>
  <si>
    <t xml:space="preserve">  Нормативная прибыль</t>
  </si>
  <si>
    <t>3.1.</t>
  </si>
  <si>
    <t xml:space="preserve">   Капитальные        расходы              </t>
  </si>
  <si>
    <t>3.2.</t>
  </si>
  <si>
    <t xml:space="preserve">   Иные  экономически обоснованные  расходы на социальные  нужды, в   соответствии    с пунктом 84  настоящих Методических указаний</t>
  </si>
  <si>
    <t>3.3.</t>
  </si>
  <si>
    <t xml:space="preserve">   Норматив прибыли  </t>
  </si>
  <si>
    <t>`</t>
  </si>
  <si>
    <t xml:space="preserve">Итого НВВ для расчета тарифа               </t>
  </si>
  <si>
    <t>Себестоимость 1 м3</t>
  </si>
  <si>
    <t xml:space="preserve"> руб.</t>
  </si>
  <si>
    <t xml:space="preserve">Тариф за  1 м3         </t>
  </si>
  <si>
    <t xml:space="preserve">руб.   </t>
  </si>
  <si>
    <t>Уд. вес %</t>
  </si>
  <si>
    <t>Откл.</t>
  </si>
  <si>
    <t>индекс потребительских цен</t>
  </si>
  <si>
    <t>индекс количества активов</t>
  </si>
  <si>
    <t>индекс цен по  электроэнергии</t>
  </si>
  <si>
    <t>НВВ с календарной разбивкой</t>
  </si>
  <si>
    <t>Среднегодовой тариф</t>
  </si>
  <si>
    <t>Факт  предприятия за 2015 год</t>
  </si>
  <si>
    <t>Предложение предприятия 2017</t>
  </si>
  <si>
    <t>Предложение комитета 2017</t>
  </si>
  <si>
    <t>Объем твердых коммунальных отходов</t>
  </si>
  <si>
    <t>тыс. куб. м</t>
  </si>
  <si>
    <t>в пределах норматива по накоплению</t>
  </si>
  <si>
    <t>Сверх норматива по накоплению</t>
  </si>
  <si>
    <t>По видам твердых коммунальных отходов</t>
  </si>
  <si>
    <t>сортированные</t>
  </si>
  <si>
    <t>несортированные</t>
  </si>
  <si>
    <t>крупногабаритные отходы</t>
  </si>
  <si>
    <t>Темп изменения образования твердых коммунальных отходов</t>
  </si>
  <si>
    <t>1.1.</t>
  </si>
  <si>
    <t>2.1.</t>
  </si>
  <si>
    <t>2.2.</t>
  </si>
  <si>
    <t>2.3.</t>
  </si>
  <si>
    <t>тонн</t>
  </si>
  <si>
    <t xml:space="preserve">тонн </t>
  </si>
  <si>
    <t>2</t>
  </si>
  <si>
    <t>Обобщающий расчет тарифов на захоронение ТКО  методом индексации</t>
  </si>
  <si>
    <t>5</t>
  </si>
  <si>
    <t>1.1.2.</t>
  </si>
  <si>
    <t>1.2.1.</t>
  </si>
  <si>
    <t>1.2.2.</t>
  </si>
  <si>
    <t>1.2.3.</t>
  </si>
  <si>
    <t>2.1.1.</t>
  </si>
  <si>
    <t>2.2.2.</t>
  </si>
  <si>
    <t>2.2.1.</t>
  </si>
  <si>
    <t>2.2.3.</t>
  </si>
  <si>
    <t>Расчетный объем твердых коммуальных отходов</t>
  </si>
  <si>
    <t>Расчетная масса твердых коммунальных отходов</t>
  </si>
  <si>
    <t xml:space="preserve">план </t>
  </si>
  <si>
    <t xml:space="preserve">факт  </t>
  </si>
  <si>
    <t>Очередной период (2017)</t>
  </si>
  <si>
    <t>Текущий год (2016)</t>
  </si>
  <si>
    <t>Истекший год (2015)</t>
  </si>
  <si>
    <t>Истекший год (2014)</t>
  </si>
  <si>
    <t>Расчет тарифа ТКО на 1 куб. м</t>
  </si>
  <si>
    <t>Расчет тарифа ТКО на тонну</t>
  </si>
  <si>
    <t>Истекший год (2013)</t>
  </si>
  <si>
    <t>Расходы на оплату услуг связи</t>
  </si>
  <si>
    <t>Расходы на оплату вневедомственной охраны</t>
  </si>
  <si>
    <t>Расходы на оплату юридических, информационных, аудиторских и консультационных услуг</t>
  </si>
  <si>
    <t>Расходы на оплату других работ и услуг, не относящихся к производственным расходам</t>
  </si>
  <si>
    <t>Расходы на служебные командировки</t>
  </si>
  <si>
    <t>Расходы на обучение персонала</t>
  </si>
  <si>
    <t>Лизинговый платеж</t>
  </si>
  <si>
    <t>Арендная плата</t>
  </si>
  <si>
    <t>Расходы на уплату процентов и займов по кредитам, не учитываемые при определении налоговой базы по налогу на прибыль</t>
  </si>
  <si>
    <t>Расходы на обязательное страхование производственных объектов</t>
  </si>
  <si>
    <t>Другие расходы, в том числе:</t>
  </si>
  <si>
    <t>расходы по охране труда и технике безопасности</t>
  </si>
  <si>
    <t xml:space="preserve">расходы на канцелярские товары </t>
  </si>
  <si>
    <t xml:space="preserve">  Сбытовые  расходы </t>
  </si>
  <si>
    <t>Расходы на приобретение (производство) энергетических ресурсов</t>
  </si>
  <si>
    <t>количество</t>
  </si>
  <si>
    <t>куб.м.</t>
  </si>
  <si>
    <t>тариф</t>
  </si>
  <si>
    <t>Раходы на тепловую энергию</t>
  </si>
  <si>
    <t>Расходы на водоснабжение и водоотведение</t>
  </si>
  <si>
    <t xml:space="preserve">Расходы  наприродный газ </t>
  </si>
  <si>
    <t>Гкал</t>
  </si>
  <si>
    <t>Расходы на иные виды топлива и энергетические ресурсы</t>
  </si>
  <si>
    <t>Расчетная предпринимательская прибыль</t>
  </si>
  <si>
    <t>Результаты деятельности до перехода к регулированию цен (тарифов) на основе долгосрочных параметров регулирования</t>
  </si>
  <si>
    <t>Корректировка с целью учета отклонения фактических значений параметров расчета тарифов от значений, учтенных при установлении тарифов</t>
  </si>
  <si>
    <t xml:space="preserve">Корректировка с учетом исполнения регулируемой организацией обязательств по созданию и (или) реконструкции объектов концессионного соглашения, по эксплуатации объектов по договору аренды </t>
  </si>
  <si>
    <t>Корректировка НВВ в связи с изменением (неисполнением) инвестиционной программы</t>
  </si>
  <si>
    <t>ПРИБЫЛЬ всего, в том числе</t>
  </si>
  <si>
    <t>Расходы на текущий и капитальный ремонт основных средств объектов, используемых для обработки, обезвреживания, захоронения твердых коммунальных отходов</t>
  </si>
  <si>
    <t>Расходы на оплату труда производственного персонала</t>
  </si>
  <si>
    <t>численность</t>
  </si>
  <si>
    <t>средняя зарплата</t>
  </si>
  <si>
    <t>Расходы на оплату труда ремонтного персонала</t>
  </si>
  <si>
    <t>Расходы на оплату труда цехового персонала</t>
  </si>
  <si>
    <t>Расходы на оплату труда АУП</t>
  </si>
  <si>
    <t>5.</t>
  </si>
  <si>
    <t>Расходы на оплату иных работ и услуг, выполняемых по договорам с организациями, включая:</t>
  </si>
  <si>
    <t>6.</t>
  </si>
  <si>
    <t>7.</t>
  </si>
  <si>
    <t xml:space="preserve">  Расходы   на   приобретение сырья  и  материалов   и   их хранение                     </t>
  </si>
  <si>
    <t>1.1.3.</t>
  </si>
  <si>
    <t>1.1.2.1.</t>
  </si>
  <si>
    <t>1.1.2.2.</t>
  </si>
  <si>
    <t xml:space="preserve">Расходы на оплату  труда  и отчисления   на    социальные нужды               основного производственного  персонала, в том числе:                 </t>
  </si>
  <si>
    <t>1.1.3.1.</t>
  </si>
  <si>
    <t>1.1.3.2.</t>
  </si>
  <si>
    <t>1.1.3.3.</t>
  </si>
  <si>
    <t>1.1.3.4.</t>
  </si>
  <si>
    <t xml:space="preserve"> -расходы на текущий ремонт объектов</t>
  </si>
  <si>
    <t>- на капитальный ремонт объектов</t>
  </si>
  <si>
    <t>1.1.3.5</t>
  </si>
  <si>
    <t>1.1.4</t>
  </si>
  <si>
    <t>1.1.5</t>
  </si>
  <si>
    <t>1.1.5.1</t>
  </si>
  <si>
    <t>1.1.6</t>
  </si>
  <si>
    <t>1.1.7.</t>
  </si>
  <si>
    <t>1.1.8.</t>
  </si>
  <si>
    <t>1.1.9.</t>
  </si>
  <si>
    <t>1.1.10.</t>
  </si>
  <si>
    <t>1.1.5.2</t>
  </si>
  <si>
    <t>1.1.5.3</t>
  </si>
  <si>
    <t>1.1.5.4</t>
  </si>
  <si>
    <t>Расходы на эксплуатацию объектов, используемых для обработки, обезвреживания, захоронения твердых коммунальных отходов (выполняемые сторонними организациями</t>
  </si>
  <si>
    <t xml:space="preserve">прочие  общехозяйственные расходы </t>
  </si>
  <si>
    <t>1.1.11.</t>
  </si>
  <si>
    <t>1.1.12.</t>
  </si>
  <si>
    <t>1.1.12.1.</t>
  </si>
  <si>
    <t>1.1.12.2.</t>
  </si>
  <si>
    <t>1.1.13.</t>
  </si>
  <si>
    <t>Расходы на оплату товаров (услуг, работ), приобретаемых у других организаций, осуществляющих регулируемые виды деятельности, в том числе</t>
  </si>
  <si>
    <t>1.2.1.1.</t>
  </si>
  <si>
    <t>1.2.1.2.</t>
  </si>
  <si>
    <t xml:space="preserve">   - услуги  на тепловую энергию   </t>
  </si>
  <si>
    <t xml:space="preserve">  -услуги         по холодному           водоснабжению      </t>
  </si>
  <si>
    <t>1.2.2.1.</t>
  </si>
  <si>
    <t>1.2.2.2.</t>
  </si>
  <si>
    <t>1.2.2.3.</t>
  </si>
  <si>
    <t>1.2.2.4.</t>
  </si>
  <si>
    <t>1.2.2.5.</t>
  </si>
  <si>
    <t>1.2.4.</t>
  </si>
  <si>
    <t xml:space="preserve">  -возврат сумм основного долга     </t>
  </si>
  <si>
    <t xml:space="preserve">  -проценты       по займам и кредитам  </t>
  </si>
  <si>
    <t>1.2.5.</t>
  </si>
  <si>
    <t>1.2.6.</t>
  </si>
  <si>
    <t>1.2.7.</t>
  </si>
  <si>
    <t>1.2.7.1.</t>
  </si>
  <si>
    <t>1.2.7.2.</t>
  </si>
  <si>
    <t>Суммарная экономия от снижения операционных расходов и от снижения потребления энергетических ресурсов, достигнутая регулируемой организацией в предыдущем долгосрочном периоде регулирования</t>
  </si>
  <si>
    <t>Расходы на амортизацию основных средств и нематериальных активов</t>
  </si>
  <si>
    <t>2.</t>
  </si>
  <si>
    <t>3.</t>
  </si>
  <si>
    <t>3.1.1.</t>
  </si>
  <si>
    <t>3.1.2.</t>
  </si>
  <si>
    <t>4.</t>
  </si>
  <si>
    <t xml:space="preserve">Тариф за  1 тонну        </t>
  </si>
  <si>
    <t>сверх норматива по накоплению</t>
  </si>
  <si>
    <t>индекс эффекивности</t>
  </si>
  <si>
    <t xml:space="preserve">                                                     для      ООО "ТУРАН"    на 2017-2019 годы</t>
  </si>
  <si>
    <t>8,98</t>
  </si>
  <si>
    <t>Тариф 2015 с 01.07.</t>
  </si>
  <si>
    <t>Базовый период 2016 с 01.07.</t>
  </si>
  <si>
    <t>Объем твердых коммунальных отходов всего, в том числе:</t>
  </si>
  <si>
    <t>население</t>
  </si>
  <si>
    <t>бюджетные организации</t>
  </si>
  <si>
    <t>прочие потребители</t>
  </si>
  <si>
    <t xml:space="preserve">Расходы на отчисления на социальные нужды от оплаты труда </t>
  </si>
  <si>
    <t xml:space="preserve">  Прочие  налоги  и сборы  (плата за негативное воздействие на окружающую среду)            </t>
  </si>
  <si>
    <t>УСНО 1%</t>
  </si>
  <si>
    <t>КУБ.М</t>
  </si>
  <si>
    <t xml:space="preserve">НВВ 1 полугодия </t>
  </si>
  <si>
    <t xml:space="preserve">НВВ 2 полугодия </t>
  </si>
  <si>
    <t>Тариф с 01.07.</t>
  </si>
  <si>
    <t>Рост с 01.07.</t>
  </si>
  <si>
    <t>тонны</t>
  </si>
  <si>
    <t xml:space="preserve">Подпись                                                                                    О.С. Шведова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</si>
</sst>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0"/>
      <color theme="1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i/>
      <u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3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</cellStyleXfs>
  <cellXfs count="238">
    <xf numFmtId="0" fontId="0" fillId="0" borderId="0" xfId="0"/>
    <xf numFmtId="49" fontId="4" fillId="0" borderId="2" xfId="11" applyNumberFormat="1" applyFont="1" applyBorder="1" applyAlignment="1">
      <alignment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49" fontId="4" fillId="0" borderId="1" xfId="11" applyNumberFormat="1" applyFont="1" applyBorder="1" applyAlignment="1">
      <alignment horizontal="center" vertical="center"/>
    </xf>
    <xf numFmtId="49" fontId="4" fillId="4" borderId="1" xfId="11" applyNumberFormat="1" applyFont="1" applyFill="1" applyBorder="1" applyAlignment="1">
      <alignment horizontal="center" vertical="center"/>
    </xf>
    <xf numFmtId="0" fontId="4" fillId="0" borderId="0" xfId="10" applyFont="1" applyAlignment="1">
      <alignment vertical="center"/>
    </xf>
    <xf numFmtId="0" fontId="6" fillId="0" borderId="0" xfId="10" applyFont="1" applyAlignment="1">
      <alignment vertical="center"/>
    </xf>
    <xf numFmtId="0" fontId="4" fillId="4" borderId="1" xfId="10" applyFont="1" applyFill="1" applyBorder="1" applyAlignment="1">
      <alignment horizontal="center" vertical="center"/>
    </xf>
    <xf numFmtId="0" fontId="4" fillId="0" borderId="1" xfId="10" applyFont="1" applyBorder="1" applyAlignment="1">
      <alignment horizontal="center" vertical="center"/>
    </xf>
    <xf numFmtId="164" fontId="4" fillId="0" borderId="0" xfId="10" applyNumberFormat="1" applyFont="1" applyAlignment="1">
      <alignment vertical="center"/>
    </xf>
    <xf numFmtId="2" fontId="4" fillId="0" borderId="0" xfId="10" applyNumberFormat="1" applyFont="1" applyAlignment="1">
      <alignment vertical="center"/>
    </xf>
    <xf numFmtId="2" fontId="7" fillId="4" borderId="1" xfId="9" applyNumberFormat="1" applyFont="1" applyFill="1" applyBorder="1" applyAlignment="1">
      <alignment horizontal="center" vertical="center"/>
    </xf>
    <xf numFmtId="0" fontId="6" fillId="0" borderId="0" xfId="10" applyFont="1" applyAlignment="1">
      <alignment vertical="center" shrinkToFit="1"/>
    </xf>
    <xf numFmtId="0" fontId="8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16" fontId="8" fillId="0" borderId="10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4" fillId="0" borderId="0" xfId="11" applyNumberFormat="1" applyFont="1" applyBorder="1" applyAlignment="1">
      <alignment horizontal="center" vertical="center"/>
    </xf>
    <xf numFmtId="49" fontId="4" fillId="0" borderId="3" xfId="11" applyNumberFormat="1" applyFont="1" applyBorder="1" applyAlignment="1">
      <alignment horizontal="center" vertical="center"/>
    </xf>
    <xf numFmtId="16" fontId="8" fillId="0" borderId="8" xfId="0" applyNumberFormat="1" applyFont="1" applyBorder="1" applyAlignment="1">
      <alignment horizontal="center" vertical="center" wrapText="1"/>
    </xf>
    <xf numFmtId="49" fontId="4" fillId="4" borderId="7" xfId="11" applyNumberFormat="1" applyFont="1" applyFill="1" applyBorder="1" applyAlignment="1">
      <alignment horizontal="center" vertical="center"/>
    </xf>
    <xf numFmtId="0" fontId="8" fillId="4" borderId="9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horizontal="center" vertical="center" wrapText="1"/>
    </xf>
    <xf numFmtId="49" fontId="4" fillId="0" borderId="2" xfId="11" applyNumberFormat="1" applyFont="1" applyBorder="1" applyAlignment="1">
      <alignment vertical="center"/>
    </xf>
    <xf numFmtId="49" fontId="4" fillId="0" borderId="2" xfId="11" applyNumberFormat="1" applyFont="1" applyBorder="1" applyAlignment="1">
      <alignment vertical="center" wrapText="1"/>
    </xf>
    <xf numFmtId="0" fontId="6" fillId="0" borderId="0" xfId="10" applyFont="1" applyAlignment="1">
      <alignment vertical="center" shrinkToFit="1"/>
    </xf>
    <xf numFmtId="49" fontId="4" fillId="0" borderId="12" xfId="11" applyNumberFormat="1" applyFont="1" applyBorder="1" applyAlignment="1">
      <alignment horizontal="center" vertical="center"/>
    </xf>
    <xf numFmtId="49" fontId="4" fillId="0" borderId="2" xfId="11" applyNumberFormat="1" applyFont="1" applyBorder="1" applyAlignment="1">
      <alignment horizontal="center" vertical="center"/>
    </xf>
    <xf numFmtId="49" fontId="9" fillId="0" borderId="1" xfId="11" applyNumberFormat="1" applyFont="1" applyBorder="1" applyAlignment="1">
      <alignment horizontal="center" vertical="center"/>
    </xf>
    <xf numFmtId="49" fontId="4" fillId="0" borderId="7" xfId="11" applyNumberFormat="1" applyFont="1" applyBorder="1" applyAlignment="1">
      <alignment horizontal="center" vertical="center"/>
    </xf>
    <xf numFmtId="16" fontId="8" fillId="5" borderId="1" xfId="0" applyNumberFormat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2" fontId="7" fillId="5" borderId="7" xfId="9" applyNumberFormat="1" applyFont="1" applyFill="1" applyBorder="1" applyAlignment="1">
      <alignment horizontal="center" vertical="center"/>
    </xf>
    <xf numFmtId="2" fontId="7" fillId="5" borderId="1" xfId="10" applyNumberFormat="1" applyFont="1" applyFill="1" applyBorder="1" applyAlignment="1">
      <alignment horizontal="center" vertical="center" wrapText="1"/>
    </xf>
    <xf numFmtId="2" fontId="7" fillId="5" borderId="1" xfId="9" applyNumberFormat="1" applyFont="1" applyFill="1" applyBorder="1" applyAlignment="1">
      <alignment horizontal="center" vertical="center"/>
    </xf>
    <xf numFmtId="1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7" xfId="10" applyFont="1" applyBorder="1" applyAlignment="1">
      <alignment horizontal="center" vertical="center"/>
    </xf>
    <xf numFmtId="164" fontId="4" fillId="4" borderId="1" xfId="10" applyNumberFormat="1" applyFont="1" applyFill="1" applyBorder="1" applyAlignment="1">
      <alignment vertical="center"/>
    </xf>
    <xf numFmtId="2" fontId="7" fillId="4" borderId="1" xfId="10" applyNumberFormat="1" applyFont="1" applyFill="1" applyBorder="1" applyAlignment="1">
      <alignment horizontal="center" vertical="center" wrapText="1"/>
    </xf>
    <xf numFmtId="2" fontId="7" fillId="4" borderId="7" xfId="9" applyNumberFormat="1" applyFont="1" applyFill="1" applyBorder="1" applyAlignment="1">
      <alignment horizontal="center" vertical="center"/>
    </xf>
    <xf numFmtId="2" fontId="7" fillId="4" borderId="7" xfId="10" applyNumberFormat="1" applyFont="1" applyFill="1" applyBorder="1" applyAlignment="1">
      <alignment horizontal="center" vertical="center" wrapText="1"/>
    </xf>
    <xf numFmtId="2" fontId="4" fillId="4" borderId="1" xfId="15" applyNumberFormat="1" applyFont="1" applyFill="1" applyBorder="1" applyAlignment="1">
      <alignment vertical="center"/>
    </xf>
    <xf numFmtId="2" fontId="10" fillId="4" borderId="1" xfId="10" applyNumberFormat="1" applyFont="1" applyFill="1" applyBorder="1" applyAlignment="1">
      <alignment horizontal="center" vertical="center" wrapText="1"/>
    </xf>
    <xf numFmtId="0" fontId="4" fillId="0" borderId="1" xfId="10" applyFont="1" applyBorder="1" applyAlignment="1">
      <alignment vertical="center"/>
    </xf>
    <xf numFmtId="49" fontId="6" fillId="5" borderId="4" xfId="10" applyNumberFormat="1" applyFont="1" applyFill="1" applyBorder="1" applyAlignment="1">
      <alignment vertical="center"/>
    </xf>
    <xf numFmtId="49" fontId="6" fillId="5" borderId="16" xfId="10" applyNumberFormat="1" applyFont="1" applyFill="1" applyBorder="1" applyAlignment="1">
      <alignment vertical="center"/>
    </xf>
    <xf numFmtId="2" fontId="4" fillId="5" borderId="1" xfId="10" applyNumberFormat="1" applyFont="1" applyFill="1" applyBorder="1" applyAlignment="1">
      <alignment horizontal="center" vertical="center"/>
    </xf>
    <xf numFmtId="49" fontId="6" fillId="6" borderId="1" xfId="10" applyNumberFormat="1" applyFont="1" applyFill="1" applyBorder="1" applyAlignment="1">
      <alignment vertical="center"/>
    </xf>
    <xf numFmtId="49" fontId="6" fillId="6" borderId="6" xfId="10" applyNumberFormat="1" applyFont="1" applyFill="1" applyBorder="1" applyAlignment="1">
      <alignment vertical="center"/>
    </xf>
    <xf numFmtId="2" fontId="4" fillId="6" borderId="1" xfId="10" applyNumberFormat="1" applyFont="1" applyFill="1" applyBorder="1" applyAlignment="1">
      <alignment horizontal="center" vertical="center"/>
    </xf>
    <xf numFmtId="49" fontId="4" fillId="0" borderId="1" xfId="10" applyNumberFormat="1" applyFont="1" applyBorder="1" applyAlignment="1">
      <alignment vertical="center"/>
    </xf>
    <xf numFmtId="49" fontId="4" fillId="0" borderId="1" xfId="10" applyNumberFormat="1" applyFont="1" applyBorder="1" applyAlignment="1">
      <alignment vertical="center" wrapText="1"/>
    </xf>
    <xf numFmtId="49" fontId="4" fillId="0" borderId="6" xfId="10" applyNumberFormat="1" applyFont="1" applyBorder="1" applyAlignment="1">
      <alignment vertical="center"/>
    </xf>
    <xf numFmtId="2" fontId="4" fillId="0" borderId="1" xfId="10" applyNumberFormat="1" applyFont="1" applyBorder="1" applyAlignment="1">
      <alignment vertical="center"/>
    </xf>
    <xf numFmtId="49" fontId="4" fillId="0" borderId="2" xfId="10" applyNumberFormat="1" applyFont="1" applyBorder="1" applyAlignment="1">
      <alignment vertical="center"/>
    </xf>
    <xf numFmtId="0" fontId="4" fillId="0" borderId="0" xfId="0" applyFont="1" applyAlignment="1">
      <alignment wrapText="1"/>
    </xf>
    <xf numFmtId="49" fontId="4" fillId="0" borderId="1" xfId="11" applyNumberFormat="1" applyFont="1" applyBorder="1" applyAlignment="1">
      <alignment horizontal="right" vertical="center" wrapText="1"/>
    </xf>
    <xf numFmtId="164" fontId="4" fillId="0" borderId="1" xfId="10" applyNumberFormat="1" applyFont="1" applyBorder="1" applyAlignment="1">
      <alignment vertical="center"/>
    </xf>
    <xf numFmtId="49" fontId="4" fillId="0" borderId="7" xfId="10" applyNumberFormat="1" applyFont="1" applyBorder="1" applyAlignment="1">
      <alignment vertical="center" wrapText="1"/>
    </xf>
    <xf numFmtId="2" fontId="4" fillId="0" borderId="1" xfId="1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 wrapText="1"/>
    </xf>
    <xf numFmtId="0" fontId="7" fillId="4" borderId="1" xfId="0" applyFont="1" applyFill="1" applyBorder="1" applyAlignment="1">
      <alignment horizontal="center"/>
    </xf>
    <xf numFmtId="0" fontId="7" fillId="0" borderId="17" xfId="0" applyFont="1" applyBorder="1" applyAlignment="1">
      <alignment horizontal="right"/>
    </xf>
    <xf numFmtId="0" fontId="7" fillId="4" borderId="1" xfId="0" applyFont="1" applyFill="1" applyBorder="1" applyAlignment="1">
      <alignment horizontal="right" wrapText="1"/>
    </xf>
    <xf numFmtId="2" fontId="4" fillId="4" borderId="1" xfId="1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right"/>
    </xf>
    <xf numFmtId="0" fontId="7" fillId="4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7" fillId="4" borderId="7" xfId="0" applyFont="1" applyFill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49" fontId="4" fillId="0" borderId="18" xfId="10" applyNumberFormat="1" applyFont="1" applyBorder="1" applyAlignment="1">
      <alignment vertical="center"/>
    </xf>
    <xf numFmtId="2" fontId="7" fillId="4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49" fontId="4" fillId="0" borderId="13" xfId="10" applyNumberFormat="1" applyFont="1" applyBorder="1" applyAlignment="1">
      <alignment vertical="center"/>
    </xf>
    <xf numFmtId="2" fontId="4" fillId="0" borderId="2" xfId="10" applyNumberFormat="1" applyFont="1" applyBorder="1" applyAlignment="1">
      <alignment vertical="center"/>
    </xf>
    <xf numFmtId="2" fontId="7" fillId="4" borderId="2" xfId="10" applyNumberFormat="1" applyFont="1" applyFill="1" applyBorder="1" applyAlignment="1">
      <alignment horizontal="center" vertical="center" wrapText="1"/>
    </xf>
    <xf numFmtId="49" fontId="4" fillId="0" borderId="1" xfId="11" applyNumberFormat="1" applyFont="1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6" borderId="4" xfId="10" applyFont="1" applyFill="1" applyBorder="1" applyAlignment="1">
      <alignment vertical="center"/>
    </xf>
    <xf numFmtId="49" fontId="6" fillId="6" borderId="4" xfId="10" applyNumberFormat="1" applyFont="1" applyFill="1" applyBorder="1" applyAlignment="1">
      <alignment vertical="center" wrapText="1"/>
    </xf>
    <xf numFmtId="49" fontId="6" fillId="6" borderId="4" xfId="11" applyNumberFormat="1" applyFont="1" applyFill="1" applyBorder="1" applyAlignment="1">
      <alignment vertical="center"/>
    </xf>
    <xf numFmtId="2" fontId="6" fillId="6" borderId="4" xfId="10" applyNumberFormat="1" applyFont="1" applyFill="1" applyBorder="1" applyAlignment="1">
      <alignment vertical="center"/>
    </xf>
    <xf numFmtId="164" fontId="4" fillId="6" borderId="4" xfId="10" applyNumberFormat="1" applyFont="1" applyFill="1" applyBorder="1" applyAlignment="1">
      <alignment vertical="center"/>
    </xf>
    <xf numFmtId="14" fontId="10" fillId="0" borderId="1" xfId="10" applyNumberFormat="1" applyFont="1" applyBorder="1" applyAlignment="1">
      <alignment vertical="center"/>
    </xf>
    <xf numFmtId="0" fontId="6" fillId="0" borderId="0" xfId="0" applyFont="1" applyAlignment="1">
      <alignment wrapText="1"/>
    </xf>
    <xf numFmtId="0" fontId="6" fillId="4" borderId="1" xfId="10" applyFont="1" applyFill="1" applyBorder="1" applyAlignment="1">
      <alignment vertical="center"/>
    </xf>
    <xf numFmtId="2" fontId="6" fillId="4" borderId="1" xfId="10" applyNumberFormat="1" applyFont="1" applyFill="1" applyBorder="1" applyAlignment="1">
      <alignment vertical="center"/>
    </xf>
    <xf numFmtId="0" fontId="4" fillId="4" borderId="1" xfId="10" applyFont="1" applyFill="1" applyBorder="1" applyAlignment="1">
      <alignment vertical="center"/>
    </xf>
    <xf numFmtId="14" fontId="7" fillId="0" borderId="1" xfId="10" applyNumberFormat="1" applyFont="1" applyBorder="1" applyAlignment="1">
      <alignment vertical="center"/>
    </xf>
    <xf numFmtId="49" fontId="4" fillId="0" borderId="1" xfId="10" applyNumberFormat="1" applyFont="1" applyBorder="1" applyAlignment="1">
      <alignment horizontal="right" vertical="center" wrapText="1"/>
    </xf>
    <xf numFmtId="0" fontId="10" fillId="0" borderId="2" xfId="10" applyFont="1" applyBorder="1" applyAlignment="1">
      <alignment vertical="center"/>
    </xf>
    <xf numFmtId="49" fontId="6" fillId="0" borderId="1" xfId="10" applyNumberFormat="1" applyFont="1" applyBorder="1" applyAlignment="1">
      <alignment vertical="center" wrapText="1"/>
    </xf>
    <xf numFmtId="0" fontId="7" fillId="0" borderId="2" xfId="10" applyFont="1" applyBorder="1" applyAlignment="1">
      <alignment vertical="center"/>
    </xf>
    <xf numFmtId="49" fontId="6" fillId="4" borderId="1" xfId="10" applyNumberFormat="1" applyFont="1" applyFill="1" applyBorder="1" applyAlignment="1">
      <alignment vertical="center" wrapText="1"/>
    </xf>
    <xf numFmtId="49" fontId="4" fillId="4" borderId="1" xfId="10" applyNumberFormat="1" applyFont="1" applyFill="1" applyBorder="1" applyAlignment="1">
      <alignment horizontal="right" vertical="center" wrapText="1"/>
    </xf>
    <xf numFmtId="16" fontId="10" fillId="6" borderId="3" xfId="10" applyNumberFormat="1" applyFont="1" applyFill="1" applyBorder="1" applyAlignment="1">
      <alignment vertical="center"/>
    </xf>
    <xf numFmtId="0" fontId="10" fillId="6" borderId="0" xfId="0" applyFont="1" applyFill="1" applyAlignment="1">
      <alignment wrapText="1"/>
    </xf>
    <xf numFmtId="0" fontId="10" fillId="6" borderId="1" xfId="10" applyFont="1" applyFill="1" applyBorder="1" applyAlignment="1">
      <alignment vertical="center"/>
    </xf>
    <xf numFmtId="2" fontId="4" fillId="6" borderId="1" xfId="10" applyNumberFormat="1" applyFont="1" applyFill="1" applyBorder="1" applyAlignment="1">
      <alignment vertical="center"/>
    </xf>
    <xf numFmtId="2" fontId="7" fillId="6" borderId="1" xfId="10" applyNumberFormat="1" applyFont="1" applyFill="1" applyBorder="1" applyAlignment="1">
      <alignment horizontal="center" vertical="center" wrapText="1"/>
    </xf>
    <xf numFmtId="49" fontId="6" fillId="4" borderId="2" xfId="10" applyNumberFormat="1" applyFont="1" applyFill="1" applyBorder="1" applyAlignment="1">
      <alignment vertical="center"/>
    </xf>
    <xf numFmtId="49" fontId="6" fillId="4" borderId="7" xfId="10" applyNumberFormat="1" applyFont="1" applyFill="1" applyBorder="1" applyAlignment="1">
      <alignment vertical="center" wrapText="1"/>
    </xf>
    <xf numFmtId="49" fontId="6" fillId="4" borderId="6" xfId="10" applyNumberFormat="1" applyFont="1" applyFill="1" applyBorder="1" applyAlignment="1">
      <alignment vertical="center"/>
    </xf>
    <xf numFmtId="2" fontId="6" fillId="4" borderId="1" xfId="10" applyNumberFormat="1" applyFont="1" applyFill="1" applyBorder="1" applyAlignment="1">
      <alignment horizontal="center" vertical="center"/>
    </xf>
    <xf numFmtId="49" fontId="4" fillId="0" borderId="3" xfId="11" applyNumberFormat="1" applyFont="1" applyBorder="1" applyAlignment="1">
      <alignment vertical="center"/>
    </xf>
    <xf numFmtId="0" fontId="7" fillId="0" borderId="7" xfId="11" applyFont="1" applyBorder="1" applyAlignment="1">
      <alignment vertical="center" wrapText="1"/>
    </xf>
    <xf numFmtId="0" fontId="4" fillId="0" borderId="1" xfId="11" applyFont="1" applyBorder="1" applyAlignment="1">
      <alignment horizontal="center" vertical="center"/>
    </xf>
    <xf numFmtId="2" fontId="10" fillId="4" borderId="2" xfId="10" applyNumberFormat="1" applyFont="1" applyFill="1" applyBorder="1" applyAlignment="1">
      <alignment horizontal="center" vertical="center" wrapText="1"/>
    </xf>
    <xf numFmtId="0" fontId="7" fillId="4" borderId="7" xfId="11" applyFont="1" applyFill="1" applyBorder="1" applyAlignment="1">
      <alignment horizontal="right" vertical="center" wrapText="1"/>
    </xf>
    <xf numFmtId="0" fontId="7" fillId="4" borderId="7" xfId="11" applyFont="1" applyFill="1" applyBorder="1" applyAlignment="1">
      <alignment vertical="center" wrapText="1"/>
    </xf>
    <xf numFmtId="164" fontId="7" fillId="4" borderId="2" xfId="10" applyNumberFormat="1" applyFont="1" applyFill="1" applyBorder="1" applyAlignment="1">
      <alignment horizontal="center" vertical="center" wrapText="1"/>
    </xf>
    <xf numFmtId="164" fontId="7" fillId="4" borderId="1" xfId="10" applyNumberFormat="1" applyFont="1" applyFill="1" applyBorder="1" applyAlignment="1">
      <alignment horizontal="center" vertical="center"/>
    </xf>
    <xf numFmtId="164" fontId="4" fillId="4" borderId="4" xfId="10" applyNumberFormat="1" applyFont="1" applyFill="1" applyBorder="1" applyAlignment="1">
      <alignment vertical="center"/>
    </xf>
    <xf numFmtId="0" fontId="7" fillId="4" borderId="17" xfId="0" applyFont="1" applyFill="1" applyBorder="1" applyAlignment="1">
      <alignment horizontal="right"/>
    </xf>
    <xf numFmtId="2" fontId="4" fillId="4" borderId="2" xfId="10" applyNumberFormat="1" applyFont="1" applyFill="1" applyBorder="1" applyAlignment="1">
      <alignment vertical="center"/>
    </xf>
    <xf numFmtId="0" fontId="6" fillId="4" borderId="8" xfId="0" applyFont="1" applyFill="1" applyBorder="1" applyAlignment="1">
      <alignment vertical="center" wrapText="1"/>
    </xf>
    <xf numFmtId="0" fontId="6" fillId="4" borderId="0" xfId="0" applyFont="1" applyFill="1" applyAlignment="1">
      <alignment wrapText="1"/>
    </xf>
    <xf numFmtId="49" fontId="6" fillId="5" borderId="2" xfId="10" applyNumberFormat="1" applyFont="1" applyFill="1" applyBorder="1" applyAlignment="1">
      <alignment vertical="center"/>
    </xf>
    <xf numFmtId="0" fontId="6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/>
    </xf>
    <xf numFmtId="2" fontId="4" fillId="5" borderId="2" xfId="10" applyNumberFormat="1" applyFont="1" applyFill="1" applyBorder="1" applyAlignment="1">
      <alignment vertical="center"/>
    </xf>
    <xf numFmtId="164" fontId="4" fillId="5" borderId="4" xfId="10" applyNumberFormat="1" applyFont="1" applyFill="1" applyBorder="1" applyAlignment="1">
      <alignment vertical="center"/>
    </xf>
    <xf numFmtId="2" fontId="7" fillId="5" borderId="2" xfId="10" applyNumberFormat="1" applyFont="1" applyFill="1" applyBorder="1" applyAlignment="1">
      <alignment horizontal="center" vertical="center" wrapText="1"/>
    </xf>
    <xf numFmtId="2" fontId="4" fillId="5" borderId="1" xfId="10" applyNumberFormat="1" applyFont="1" applyFill="1" applyBorder="1" applyAlignment="1">
      <alignment vertical="center"/>
    </xf>
    <xf numFmtId="0" fontId="10" fillId="5" borderId="1" xfId="10" applyFont="1" applyFill="1" applyBorder="1" applyAlignment="1">
      <alignment vertical="center"/>
    </xf>
    <xf numFmtId="0" fontId="10" fillId="5" borderId="1" xfId="0" applyFont="1" applyFill="1" applyBorder="1" applyAlignment="1">
      <alignment wrapText="1"/>
    </xf>
    <xf numFmtId="2" fontId="10" fillId="5" borderId="2" xfId="10" applyNumberFormat="1" applyFont="1" applyFill="1" applyBorder="1" applyAlignment="1">
      <alignment vertical="center"/>
    </xf>
    <xf numFmtId="0" fontId="6" fillId="4" borderId="2" xfId="10" applyFont="1" applyFill="1" applyBorder="1" applyAlignment="1">
      <alignment horizontal="center" vertical="center"/>
    </xf>
    <xf numFmtId="49" fontId="4" fillId="4" borderId="2" xfId="10" applyNumberFormat="1" applyFont="1" applyFill="1" applyBorder="1" applyAlignment="1">
      <alignment vertical="center" wrapText="1"/>
    </xf>
    <xf numFmtId="0" fontId="6" fillId="5" borderId="1" xfId="10" applyFont="1" applyFill="1" applyBorder="1" applyAlignment="1">
      <alignment vertical="center"/>
    </xf>
    <xf numFmtId="0" fontId="4" fillId="5" borderId="19" xfId="0" applyFont="1" applyFill="1" applyBorder="1" applyAlignment="1">
      <alignment vertical="center" wrapText="1"/>
    </xf>
    <xf numFmtId="0" fontId="4" fillId="5" borderId="19" xfId="0" applyFont="1" applyFill="1" applyBorder="1" applyAlignment="1">
      <alignment horizontal="justify" vertical="center" wrapText="1"/>
    </xf>
    <xf numFmtId="0" fontId="6" fillId="8" borderId="4" xfId="10" applyFont="1" applyFill="1" applyBorder="1" applyAlignment="1">
      <alignment horizontal="center" vertical="center"/>
    </xf>
    <xf numFmtId="49" fontId="6" fillId="8" borderId="4" xfId="10" applyNumberFormat="1" applyFont="1" applyFill="1" applyBorder="1" applyAlignment="1">
      <alignment vertical="center"/>
    </xf>
    <xf numFmtId="0" fontId="6" fillId="8" borderId="1" xfId="10" applyFont="1" applyFill="1" applyBorder="1" applyAlignment="1">
      <alignment vertical="center"/>
    </xf>
    <xf numFmtId="2" fontId="11" fillId="8" borderId="1" xfId="10" applyNumberFormat="1" applyFont="1" applyFill="1" applyBorder="1" applyAlignment="1">
      <alignment vertical="center"/>
    </xf>
    <xf numFmtId="0" fontId="6" fillId="0" borderId="1" xfId="10" applyFont="1" applyFill="1" applyBorder="1" applyAlignment="1">
      <alignment horizontal="center" vertical="center"/>
    </xf>
    <xf numFmtId="49" fontId="4" fillId="0" borderId="1" xfId="11" applyNumberFormat="1" applyFont="1" applyFill="1" applyBorder="1" applyAlignment="1">
      <alignment vertical="center" wrapText="1"/>
    </xf>
    <xf numFmtId="2" fontId="6" fillId="0" borderId="1" xfId="10" applyNumberFormat="1" applyFont="1" applyFill="1" applyBorder="1" applyAlignment="1">
      <alignment vertical="center"/>
    </xf>
    <xf numFmtId="49" fontId="4" fillId="0" borderId="3" xfId="11" applyNumberFormat="1" applyFont="1" applyFill="1" applyBorder="1" applyAlignment="1">
      <alignment vertical="center" wrapText="1"/>
    </xf>
    <xf numFmtId="49" fontId="6" fillId="0" borderId="1" xfId="11" applyNumberFormat="1" applyFont="1" applyBorder="1" applyAlignment="1">
      <alignment vertical="center" wrapText="1"/>
    </xf>
    <xf numFmtId="2" fontId="12" fillId="0" borderId="1" xfId="10" applyNumberFormat="1" applyFont="1" applyBorder="1" applyAlignment="1">
      <alignment vertical="center"/>
    </xf>
    <xf numFmtId="0" fontId="4" fillId="0" borderId="4" xfId="10" applyFont="1" applyFill="1" applyBorder="1" applyAlignment="1">
      <alignment horizontal="center" vertical="center"/>
    </xf>
    <xf numFmtId="49" fontId="4" fillId="0" borderId="1" xfId="11" applyNumberFormat="1" applyFont="1" applyBorder="1" applyAlignment="1">
      <alignment vertical="center" wrapText="1"/>
    </xf>
    <xf numFmtId="0" fontId="4" fillId="0" borderId="0" xfId="10" applyFont="1" applyFill="1" applyBorder="1" applyAlignment="1">
      <alignment horizontal="center" vertical="center"/>
    </xf>
    <xf numFmtId="164" fontId="4" fillId="0" borderId="0" xfId="10" applyNumberFormat="1" applyFont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0" fontId="13" fillId="0" borderId="0" xfId="10" applyFont="1" applyAlignment="1">
      <alignment vertical="center"/>
    </xf>
    <xf numFmtId="2" fontId="14" fillId="5" borderId="1" xfId="10" applyNumberFormat="1" applyFont="1" applyFill="1" applyBorder="1" applyAlignment="1">
      <alignment horizontal="center" vertical="center"/>
    </xf>
    <xf numFmtId="2" fontId="14" fillId="6" borderId="1" xfId="10" applyNumberFormat="1" applyFont="1" applyFill="1" applyBorder="1" applyAlignment="1">
      <alignment horizontal="center" vertical="center"/>
    </xf>
    <xf numFmtId="2" fontId="14" fillId="4" borderId="1" xfId="0" applyNumberFormat="1" applyFont="1" applyFill="1" applyBorder="1" applyAlignment="1">
      <alignment horizontal="center"/>
    </xf>
    <xf numFmtId="2" fontId="14" fillId="4" borderId="1" xfId="10" applyNumberFormat="1" applyFont="1" applyFill="1" applyBorder="1" applyAlignment="1">
      <alignment horizontal="center" vertical="center"/>
    </xf>
    <xf numFmtId="2" fontId="14" fillId="4" borderId="1" xfId="10" applyNumberFormat="1" applyFont="1" applyFill="1" applyBorder="1" applyAlignment="1">
      <alignment horizontal="right" vertical="center"/>
    </xf>
    <xf numFmtId="2" fontId="14" fillId="7" borderId="1" xfId="10" applyNumberFormat="1" applyFont="1" applyFill="1" applyBorder="1" applyAlignment="1">
      <alignment vertical="center"/>
    </xf>
    <xf numFmtId="2" fontId="14" fillId="9" borderId="1" xfId="10" applyNumberFormat="1" applyFont="1" applyFill="1" applyBorder="1" applyAlignment="1">
      <alignment vertical="center"/>
    </xf>
    <xf numFmtId="2" fontId="15" fillId="6" borderId="4" xfId="10" applyNumberFormat="1" applyFont="1" applyFill="1" applyBorder="1" applyAlignment="1">
      <alignment vertical="center"/>
    </xf>
    <xf numFmtId="0" fontId="14" fillId="7" borderId="1" xfId="10" applyFont="1" applyFill="1" applyBorder="1" applyAlignment="1">
      <alignment vertical="center"/>
    </xf>
    <xf numFmtId="2" fontId="15" fillId="7" borderId="1" xfId="10" applyNumberFormat="1" applyFont="1" applyFill="1" applyBorder="1" applyAlignment="1">
      <alignment vertical="center"/>
    </xf>
    <xf numFmtId="0" fontId="14" fillId="0" borderId="1" xfId="10" applyFont="1" applyBorder="1" applyAlignment="1">
      <alignment vertical="center"/>
    </xf>
    <xf numFmtId="2" fontId="14" fillId="0" borderId="1" xfId="10" applyNumberFormat="1" applyFont="1" applyBorder="1" applyAlignment="1">
      <alignment vertical="center"/>
    </xf>
    <xf numFmtId="2" fontId="14" fillId="6" borderId="1" xfId="10" applyNumberFormat="1" applyFont="1" applyFill="1" applyBorder="1" applyAlignment="1">
      <alignment vertical="center"/>
    </xf>
    <xf numFmtId="2" fontId="15" fillId="7" borderId="1" xfId="10" applyNumberFormat="1" applyFont="1" applyFill="1" applyBorder="1" applyAlignment="1">
      <alignment horizontal="center" vertical="center"/>
    </xf>
    <xf numFmtId="2" fontId="10" fillId="7" borderId="2" xfId="10" applyNumberFormat="1" applyFont="1" applyFill="1" applyBorder="1" applyAlignment="1">
      <alignment horizontal="center" vertical="center" wrapText="1"/>
    </xf>
    <xf numFmtId="2" fontId="14" fillId="5" borderId="1" xfId="10" applyNumberFormat="1" applyFont="1" applyFill="1" applyBorder="1" applyAlignment="1">
      <alignment vertical="center"/>
    </xf>
    <xf numFmtId="0" fontId="14" fillId="10" borderId="1" xfId="10" applyFont="1" applyFill="1" applyBorder="1" applyAlignment="1">
      <alignment vertical="center"/>
    </xf>
    <xf numFmtId="2" fontId="16" fillId="8" borderId="1" xfId="10" applyNumberFormat="1" applyFont="1" applyFill="1" applyBorder="1" applyAlignment="1">
      <alignment vertical="center"/>
    </xf>
    <xf numFmtId="2" fontId="15" fillId="0" borderId="1" xfId="10" applyNumberFormat="1" applyFont="1" applyFill="1" applyBorder="1" applyAlignment="1">
      <alignment vertical="center"/>
    </xf>
    <xf numFmtId="2" fontId="17" fillId="0" borderId="1" xfId="10" applyNumberFormat="1" applyFont="1" applyBorder="1" applyAlignment="1">
      <alignment vertical="center"/>
    </xf>
    <xf numFmtId="164" fontId="14" fillId="0" borderId="1" xfId="10" applyNumberFormat="1" applyFont="1" applyBorder="1" applyAlignment="1">
      <alignment vertical="center"/>
    </xf>
    <xf numFmtId="164" fontId="14" fillId="0" borderId="1" xfId="10" applyNumberFormat="1" applyFont="1" applyBorder="1" applyAlignment="1">
      <alignment horizontal="center" vertical="center"/>
    </xf>
    <xf numFmtId="2" fontId="7" fillId="7" borderId="1" xfId="0" applyNumberFormat="1" applyFont="1" applyFill="1" applyBorder="1" applyAlignment="1">
      <alignment horizontal="center" vertical="center"/>
    </xf>
    <xf numFmtId="2" fontId="14" fillId="0" borderId="0" xfId="10" applyNumberFormat="1" applyFont="1" applyAlignment="1">
      <alignment vertical="center"/>
    </xf>
    <xf numFmtId="49" fontId="14" fillId="5" borderId="1" xfId="11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16" fontId="14" fillId="0" borderId="1" xfId="0" applyNumberFormat="1" applyFont="1" applyBorder="1" applyAlignment="1">
      <alignment horizontal="center" vertical="center" wrapText="1"/>
    </xf>
    <xf numFmtId="49" fontId="18" fillId="0" borderId="1" xfId="11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49" fontId="14" fillId="0" borderId="7" xfId="11" applyNumberFormat="1" applyFont="1" applyBorder="1" applyAlignment="1">
      <alignment horizontal="center" vertical="center"/>
    </xf>
    <xf numFmtId="49" fontId="14" fillId="0" borderId="7" xfId="11" applyNumberFormat="1" applyFont="1" applyFill="1" applyBorder="1" applyAlignment="1">
      <alignment horizontal="center" vertical="center"/>
    </xf>
    <xf numFmtId="0" fontId="14" fillId="7" borderId="7" xfId="1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 wrapText="1"/>
    </xf>
    <xf numFmtId="0" fontId="4" fillId="11" borderId="1" xfId="10" applyFont="1" applyFill="1" applyBorder="1" applyAlignment="1">
      <alignment horizontal="center" vertical="center"/>
    </xf>
    <xf numFmtId="49" fontId="4" fillId="11" borderId="7" xfId="11" applyNumberFormat="1" applyFont="1" applyFill="1" applyBorder="1" applyAlignment="1">
      <alignment horizontal="center" vertical="center"/>
    </xf>
    <xf numFmtId="2" fontId="7" fillId="11" borderId="7" xfId="10" applyNumberFormat="1" applyFont="1" applyFill="1" applyBorder="1" applyAlignment="1">
      <alignment horizontal="center" vertical="center" wrapText="1"/>
    </xf>
    <xf numFmtId="0" fontId="4" fillId="11" borderId="7" xfId="10" applyFont="1" applyFill="1" applyBorder="1" applyAlignment="1">
      <alignment horizontal="center" vertical="center"/>
    </xf>
    <xf numFmtId="0" fontId="14" fillId="11" borderId="7" xfId="10" applyFont="1" applyFill="1" applyBorder="1" applyAlignment="1">
      <alignment horizontal="center" vertical="center"/>
    </xf>
    <xf numFmtId="165" fontId="4" fillId="11" borderId="7" xfId="10" applyNumberFormat="1" applyFont="1" applyFill="1" applyBorder="1" applyAlignment="1">
      <alignment horizontal="center" vertical="center"/>
    </xf>
    <xf numFmtId="2" fontId="7" fillId="11" borderId="7" xfId="9" applyNumberFormat="1" applyFont="1" applyFill="1" applyBorder="1" applyAlignment="1">
      <alignment horizontal="center" vertical="center"/>
    </xf>
    <xf numFmtId="2" fontId="4" fillId="11" borderId="1" xfId="10" applyNumberFormat="1" applyFont="1" applyFill="1" applyBorder="1" applyAlignment="1">
      <alignment vertical="center"/>
    </xf>
    <xf numFmtId="2" fontId="4" fillId="11" borderId="1" xfId="10" applyNumberFormat="1" applyFont="1" applyFill="1" applyBorder="1" applyAlignment="1">
      <alignment horizontal="center" vertical="center"/>
    </xf>
    <xf numFmtId="2" fontId="14" fillId="11" borderId="7" xfId="10" applyNumberFormat="1" applyFont="1" applyFill="1" applyBorder="1" applyAlignment="1">
      <alignment horizontal="right" vertical="center"/>
    </xf>
    <xf numFmtId="2" fontId="4" fillId="11" borderId="2" xfId="10" applyNumberFormat="1" applyFont="1" applyFill="1" applyBorder="1" applyAlignment="1">
      <alignment vertical="center"/>
    </xf>
    <xf numFmtId="2" fontId="6" fillId="11" borderId="1" xfId="10" applyNumberFormat="1" applyFont="1" applyFill="1" applyBorder="1" applyAlignment="1">
      <alignment vertical="center"/>
    </xf>
    <xf numFmtId="2" fontId="6" fillId="11" borderId="1" xfId="10" applyNumberFormat="1" applyFont="1" applyFill="1" applyBorder="1" applyAlignment="1">
      <alignment horizontal="center" vertical="center"/>
    </xf>
    <xf numFmtId="2" fontId="10" fillId="11" borderId="2" xfId="10" applyNumberFormat="1" applyFont="1" applyFill="1" applyBorder="1" applyAlignment="1">
      <alignment horizontal="center" vertical="center" wrapText="1"/>
    </xf>
    <xf numFmtId="2" fontId="12" fillId="11" borderId="1" xfId="10" applyNumberFormat="1" applyFont="1" applyFill="1" applyBorder="1" applyAlignment="1">
      <alignment vertical="center"/>
    </xf>
    <xf numFmtId="164" fontId="4" fillId="11" borderId="1" xfId="10" applyNumberFormat="1" applyFont="1" applyFill="1" applyBorder="1" applyAlignment="1">
      <alignment vertical="center"/>
    </xf>
    <xf numFmtId="164" fontId="4" fillId="11" borderId="1" xfId="10" applyNumberFormat="1" applyFont="1" applyFill="1" applyBorder="1" applyAlignment="1">
      <alignment horizontal="center" vertical="center"/>
    </xf>
    <xf numFmtId="164" fontId="7" fillId="11" borderId="1" xfId="0" applyNumberFormat="1" applyFont="1" applyFill="1" applyBorder="1" applyAlignment="1">
      <alignment horizontal="center" vertical="center"/>
    </xf>
    <xf numFmtId="164" fontId="14" fillId="7" borderId="1" xfId="10" applyNumberFormat="1" applyFont="1" applyFill="1" applyBorder="1" applyAlignment="1">
      <alignment vertical="center"/>
    </xf>
    <xf numFmtId="0" fontId="14" fillId="0" borderId="0" xfId="10" applyFont="1" applyAlignment="1">
      <alignment vertical="center"/>
    </xf>
    <xf numFmtId="2" fontId="14" fillId="0" borderId="0" xfId="10" applyNumberFormat="1" applyFont="1" applyFill="1" applyAlignment="1">
      <alignment vertical="center"/>
    </xf>
    <xf numFmtId="0" fontId="14" fillId="0" borderId="0" xfId="10" applyFont="1" applyFill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0" xfId="10" applyFont="1" applyAlignment="1">
      <alignment vertical="center" shrinkToFit="1"/>
    </xf>
    <xf numFmtId="49" fontId="9" fillId="4" borderId="13" xfId="11" applyNumberFormat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49" fontId="9" fillId="0" borderId="14" xfId="1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4" fillId="0" borderId="2" xfId="11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49" fontId="4" fillId="0" borderId="2" xfId="11" applyNumberFormat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4" fontId="7" fillId="0" borderId="0" xfId="10" applyNumberFormat="1" applyFont="1" applyAlignment="1">
      <alignment vertical="center"/>
    </xf>
    <xf numFmtId="0" fontId="13" fillId="0" borderId="0" xfId="10" applyFont="1" applyFill="1" applyAlignment="1">
      <alignment vertical="center"/>
    </xf>
    <xf numFmtId="2" fontId="13" fillId="0" borderId="0" xfId="10" applyNumberFormat="1" applyFont="1" applyAlignment="1">
      <alignment vertical="center"/>
    </xf>
    <xf numFmtId="164" fontId="13" fillId="0" borderId="0" xfId="10" applyNumberFormat="1" applyFont="1" applyAlignment="1">
      <alignment vertical="center"/>
    </xf>
  </cellXfs>
  <cellStyles count="16">
    <cellStyle name="20% - Акцент1 2" xfId="12"/>
    <cellStyle name="20% - Акцент1 3" xfId="13"/>
    <cellStyle name="20% - Акцент1 57" xfId="3"/>
    <cellStyle name="20% - Акцент2 2" xfId="14"/>
    <cellStyle name="20% - Акцент2 57" xfId="4"/>
    <cellStyle name="Обычный" xfId="0" builtinId="0"/>
    <cellStyle name="Обычный 102" xfId="5"/>
    <cellStyle name="Обычный 2" xfId="2"/>
    <cellStyle name="Обычный 2 2" xfId="11"/>
    <cellStyle name="Обычный 3" xfId="1"/>
    <cellStyle name="Обычный 3 2" xfId="6"/>
    <cellStyle name="Обычный 3 3" xfId="15"/>
    <cellStyle name="Обычный 4" xfId="7"/>
    <cellStyle name="Обычный 5" xfId="8"/>
    <cellStyle name="Обычный 6" xfId="10"/>
    <cellStyle name="Обычный_Лист в Фрагмент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zoomScale="106" zoomScaleNormal="106" workbookViewId="0">
      <pane xSplit="2" ySplit="4" topLeftCell="C5" activePane="bottomRight" state="frozen"/>
      <selection pane="topRight" activeCell="C1" sqref="C1"/>
      <selection pane="bottomLeft" activeCell="A8" sqref="A8"/>
      <selection pane="bottomRight" activeCell="B1" sqref="B1"/>
    </sheetView>
  </sheetViews>
  <sheetFormatPr defaultRowHeight="15.75" x14ac:dyDescent="0.25"/>
  <cols>
    <col min="1" max="1" width="8.85546875" style="6" customWidth="1"/>
    <col min="2" max="2" width="35.42578125" style="6" customWidth="1"/>
    <col min="3" max="3" width="12.28515625" style="6" customWidth="1"/>
    <col min="4" max="4" width="15" style="6" customWidth="1"/>
    <col min="5" max="5" width="12.85546875" style="6" customWidth="1"/>
    <col min="6" max="6" width="10" style="6" hidden="1" customWidth="1"/>
    <col min="7" max="7" width="17.7109375" style="6" customWidth="1"/>
    <col min="8" max="8" width="14.42578125" style="6" customWidth="1"/>
    <col min="9" max="9" width="18.42578125" style="6" customWidth="1"/>
    <col min="10" max="10" width="14.140625" style="6" customWidth="1"/>
    <col min="11" max="11" width="12.5703125" style="6" customWidth="1"/>
    <col min="12" max="14" width="13.7109375" style="6" customWidth="1"/>
    <col min="15" max="16" width="0" style="6" hidden="1" customWidth="1"/>
    <col min="17" max="16384" width="9.140625" style="6"/>
  </cols>
  <sheetData>
    <row r="1" spans="1:14" x14ac:dyDescent="0.25">
      <c r="B1" s="7" t="s">
        <v>81</v>
      </c>
      <c r="C1" s="7"/>
      <c r="D1" s="7"/>
    </row>
    <row r="2" spans="1:14" ht="12.75" customHeight="1" x14ac:dyDescent="0.25">
      <c r="A2" s="221" t="s">
        <v>200</v>
      </c>
      <c r="B2" s="221"/>
      <c r="C2" s="221"/>
      <c r="D2" s="221"/>
      <c r="E2" s="221"/>
      <c r="F2" s="221"/>
      <c r="G2" s="221"/>
      <c r="H2" s="221"/>
      <c r="I2" s="221"/>
      <c r="J2" s="221"/>
    </row>
    <row r="3" spans="1:14" ht="12.75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</row>
    <row r="4" spans="1:14" ht="24" customHeight="1" x14ac:dyDescent="0.25">
      <c r="A4" s="228" t="s">
        <v>0</v>
      </c>
      <c r="B4" s="228" t="s">
        <v>1</v>
      </c>
      <c r="C4" s="230" t="s">
        <v>2</v>
      </c>
      <c r="D4" s="219" t="s">
        <v>101</v>
      </c>
      <c r="E4" s="220"/>
      <c r="F4" s="3" t="s">
        <v>55</v>
      </c>
      <c r="G4" s="219" t="s">
        <v>98</v>
      </c>
      <c r="H4" s="220"/>
      <c r="I4" s="219" t="s">
        <v>97</v>
      </c>
      <c r="J4" s="220"/>
      <c r="K4" s="219" t="s">
        <v>96</v>
      </c>
      <c r="L4" s="220"/>
      <c r="M4" s="219" t="s">
        <v>95</v>
      </c>
      <c r="N4" s="220"/>
    </row>
    <row r="5" spans="1:14" ht="25.5" customHeight="1" x14ac:dyDescent="0.25">
      <c r="A5" s="229"/>
      <c r="B5" s="229"/>
      <c r="C5" s="231"/>
      <c r="D5" s="3" t="s">
        <v>93</v>
      </c>
      <c r="E5" s="2" t="s">
        <v>94</v>
      </c>
      <c r="F5" s="3"/>
      <c r="G5" s="3" t="s">
        <v>93</v>
      </c>
      <c r="H5" s="2" t="s">
        <v>94</v>
      </c>
      <c r="I5" s="3" t="s">
        <v>93</v>
      </c>
      <c r="J5" s="2" t="s">
        <v>94</v>
      </c>
      <c r="K5" s="3" t="s">
        <v>93</v>
      </c>
      <c r="L5" s="2" t="s">
        <v>94</v>
      </c>
      <c r="M5" s="3" t="s">
        <v>93</v>
      </c>
      <c r="N5" s="2" t="s">
        <v>94</v>
      </c>
    </row>
    <row r="6" spans="1:14" x14ac:dyDescent="0.25">
      <c r="A6" s="1"/>
      <c r="B6" s="23" t="s">
        <v>3</v>
      </c>
      <c r="C6" s="5" t="s">
        <v>4</v>
      </c>
      <c r="D6" s="5" t="s">
        <v>21</v>
      </c>
      <c r="E6" s="5" t="s">
        <v>82</v>
      </c>
      <c r="F6" s="8">
        <v>5</v>
      </c>
      <c r="G6" s="8">
        <v>6</v>
      </c>
      <c r="H6" s="8">
        <v>7</v>
      </c>
      <c r="I6" s="8">
        <v>8</v>
      </c>
      <c r="J6" s="9">
        <v>9</v>
      </c>
      <c r="K6" s="9">
        <v>10</v>
      </c>
      <c r="L6" s="9">
        <v>11</v>
      </c>
      <c r="M6" s="9"/>
      <c r="N6" s="9"/>
    </row>
    <row r="7" spans="1:14" ht="16.5" thickBot="1" x14ac:dyDescent="0.3">
      <c r="A7" s="20" t="s">
        <v>23</v>
      </c>
      <c r="B7" s="222" t="s">
        <v>91</v>
      </c>
      <c r="C7" s="223"/>
      <c r="D7" s="223"/>
      <c r="E7" s="223"/>
      <c r="F7" s="223"/>
      <c r="G7" s="223"/>
      <c r="H7" s="223"/>
      <c r="I7" s="224"/>
      <c r="J7" s="9"/>
      <c r="K7" s="9"/>
      <c r="L7" s="9"/>
      <c r="M7" s="9"/>
      <c r="N7" s="9"/>
    </row>
    <row r="8" spans="1:14" ht="32.25" thickBot="1" x14ac:dyDescent="0.3">
      <c r="A8" s="16" t="s">
        <v>74</v>
      </c>
      <c r="B8" s="24" t="s">
        <v>65</v>
      </c>
      <c r="C8" s="25" t="s">
        <v>66</v>
      </c>
      <c r="D8" s="12">
        <f>D9+D10</f>
        <v>35.93</v>
      </c>
      <c r="E8" s="12">
        <f>E9+E10</f>
        <v>35.93</v>
      </c>
      <c r="F8" s="12">
        <f t="shared" ref="F8" si="0">F9+F10</f>
        <v>0</v>
      </c>
      <c r="G8" s="12">
        <f t="shared" ref="G8:N8" si="1">G9+G10</f>
        <v>35.93</v>
      </c>
      <c r="H8" s="12">
        <f t="shared" si="1"/>
        <v>35.93</v>
      </c>
      <c r="I8" s="12">
        <f t="shared" si="1"/>
        <v>35.93</v>
      </c>
      <c r="J8" s="12">
        <f t="shared" si="1"/>
        <v>35.93</v>
      </c>
      <c r="K8" s="12">
        <f t="shared" si="1"/>
        <v>35.93</v>
      </c>
      <c r="L8" s="12">
        <f t="shared" si="1"/>
        <v>35.93</v>
      </c>
      <c r="M8" s="12">
        <f t="shared" si="1"/>
        <v>35.93</v>
      </c>
      <c r="N8" s="12">
        <f t="shared" si="1"/>
        <v>35.93</v>
      </c>
    </row>
    <row r="9" spans="1:14" ht="32.25" thickBot="1" x14ac:dyDescent="0.3">
      <c r="A9" s="16" t="s">
        <v>27</v>
      </c>
      <c r="B9" s="26" t="s">
        <v>67</v>
      </c>
      <c r="C9" s="27" t="s">
        <v>66</v>
      </c>
      <c r="D9" s="8">
        <v>35.93</v>
      </c>
      <c r="E9" s="8">
        <v>35.93</v>
      </c>
      <c r="F9" s="8"/>
      <c r="G9" s="8">
        <v>35.93</v>
      </c>
      <c r="H9" s="8">
        <v>35.93</v>
      </c>
      <c r="I9" s="8">
        <v>35.93</v>
      </c>
      <c r="J9" s="8">
        <v>35.93</v>
      </c>
      <c r="K9" s="8">
        <v>35.93</v>
      </c>
      <c r="L9" s="8">
        <v>35.93</v>
      </c>
      <c r="M9" s="8">
        <v>35.93</v>
      </c>
      <c r="N9" s="8">
        <v>35.93</v>
      </c>
    </row>
    <row r="10" spans="1:14" ht="16.5" thickBot="1" x14ac:dyDescent="0.3">
      <c r="A10" s="16" t="s">
        <v>83</v>
      </c>
      <c r="B10" s="26" t="s">
        <v>68</v>
      </c>
      <c r="C10" s="27" t="s">
        <v>66</v>
      </c>
      <c r="D10" s="12">
        <v>0</v>
      </c>
      <c r="E10" s="12">
        <v>0</v>
      </c>
      <c r="F10" s="12">
        <f t="shared" ref="F10" si="2">F11+F12</f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</row>
    <row r="11" spans="1:14" ht="32.25" thickBot="1" x14ac:dyDescent="0.3">
      <c r="A11" s="16" t="s">
        <v>30</v>
      </c>
      <c r="B11" s="26" t="s">
        <v>69</v>
      </c>
      <c r="C11" s="27" t="s">
        <v>66</v>
      </c>
      <c r="D11" s="12">
        <f t="shared" ref="D11:E11" si="3">D12+D13+D14</f>
        <v>35.93</v>
      </c>
      <c r="E11" s="12">
        <f t="shared" si="3"/>
        <v>35.93</v>
      </c>
      <c r="F11" s="8"/>
      <c r="G11" s="12">
        <f t="shared" ref="G11:N11" si="4">G12+G13+G14</f>
        <v>35.93</v>
      </c>
      <c r="H11" s="12">
        <f t="shared" si="4"/>
        <v>35.93</v>
      </c>
      <c r="I11" s="12">
        <f t="shared" si="4"/>
        <v>35.93</v>
      </c>
      <c r="J11" s="12">
        <f t="shared" si="4"/>
        <v>35.93</v>
      </c>
      <c r="K11" s="12">
        <f t="shared" si="4"/>
        <v>35.93</v>
      </c>
      <c r="L11" s="12">
        <f t="shared" si="4"/>
        <v>35.93</v>
      </c>
      <c r="M11" s="12">
        <f t="shared" si="4"/>
        <v>35.93</v>
      </c>
      <c r="N11" s="12">
        <f t="shared" si="4"/>
        <v>35.93</v>
      </c>
    </row>
    <row r="12" spans="1:14" ht="16.5" thickBot="1" x14ac:dyDescent="0.3">
      <c r="A12" s="16" t="s">
        <v>84</v>
      </c>
      <c r="B12" s="26" t="s">
        <v>70</v>
      </c>
      <c r="C12" s="27" t="s">
        <v>66</v>
      </c>
      <c r="D12" s="5">
        <v>0</v>
      </c>
      <c r="E12" s="5">
        <v>0</v>
      </c>
      <c r="F12" s="8"/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 ht="16.5" thickBot="1" x14ac:dyDescent="0.3">
      <c r="A13" s="16" t="s">
        <v>85</v>
      </c>
      <c r="B13" s="26" t="s">
        <v>71</v>
      </c>
      <c r="C13" s="27" t="s">
        <v>66</v>
      </c>
      <c r="D13" s="5">
        <v>35.93</v>
      </c>
      <c r="E13" s="5">
        <v>35.93</v>
      </c>
      <c r="F13" s="8"/>
      <c r="G13" s="5">
        <v>35.93</v>
      </c>
      <c r="H13" s="5">
        <v>35.93</v>
      </c>
      <c r="I13" s="5">
        <v>35.93</v>
      </c>
      <c r="J13" s="5">
        <v>35.93</v>
      </c>
      <c r="K13" s="5">
        <v>35.93</v>
      </c>
      <c r="L13" s="5">
        <v>35.93</v>
      </c>
      <c r="M13" s="5">
        <v>35.93</v>
      </c>
      <c r="N13" s="5">
        <v>35.93</v>
      </c>
    </row>
    <row r="14" spans="1:14" ht="16.5" thickBot="1" x14ac:dyDescent="0.3">
      <c r="A14" s="16" t="s">
        <v>86</v>
      </c>
      <c r="B14" s="26" t="s">
        <v>72</v>
      </c>
      <c r="C14" s="27" t="s">
        <v>66</v>
      </c>
      <c r="D14" s="5"/>
      <c r="E14" s="5"/>
      <c r="F14" s="8"/>
      <c r="G14" s="5"/>
      <c r="H14" s="5"/>
      <c r="I14" s="5"/>
      <c r="J14" s="5"/>
      <c r="K14" s="5"/>
      <c r="L14" s="5"/>
      <c r="M14" s="5"/>
      <c r="N14" s="5"/>
    </row>
    <row r="15" spans="1:14" ht="32.25" thickBot="1" x14ac:dyDescent="0.3">
      <c r="A15" s="16" t="s">
        <v>32</v>
      </c>
      <c r="B15" s="26" t="s">
        <v>73</v>
      </c>
      <c r="C15" s="27" t="s">
        <v>6</v>
      </c>
      <c r="D15" s="5"/>
      <c r="E15" s="5"/>
      <c r="F15" s="8"/>
      <c r="G15" s="5"/>
      <c r="H15" s="5"/>
      <c r="I15" s="5"/>
      <c r="J15" s="5"/>
      <c r="K15" s="5"/>
      <c r="L15" s="5"/>
      <c r="M15" s="5"/>
      <c r="N15" s="5"/>
    </row>
    <row r="16" spans="1:14" ht="16.5" thickBot="1" x14ac:dyDescent="0.3">
      <c r="A16" s="21" t="s">
        <v>80</v>
      </c>
      <c r="B16" s="225" t="s">
        <v>92</v>
      </c>
      <c r="C16" s="226"/>
      <c r="D16" s="226"/>
      <c r="E16" s="226"/>
      <c r="F16" s="226"/>
      <c r="G16" s="226"/>
      <c r="H16" s="226"/>
      <c r="I16" s="227"/>
      <c r="J16" s="9"/>
      <c r="K16" s="9"/>
      <c r="L16" s="9"/>
      <c r="M16" s="9"/>
      <c r="N16" s="9"/>
    </row>
    <row r="17" spans="1:16" ht="32.25" thickBot="1" x14ac:dyDescent="0.3">
      <c r="A17" s="22" t="s">
        <v>75</v>
      </c>
      <c r="B17" s="14" t="s">
        <v>65</v>
      </c>
      <c r="C17" s="15" t="s">
        <v>78</v>
      </c>
      <c r="D17" s="12">
        <f t="shared" ref="D17:E17" si="5">D18+D19</f>
        <v>8.98</v>
      </c>
      <c r="E17" s="12">
        <f t="shared" si="5"/>
        <v>8.98</v>
      </c>
      <c r="F17" s="12">
        <f t="shared" ref="F17:N17" si="6">F18+F19</f>
        <v>0</v>
      </c>
      <c r="G17" s="12">
        <f t="shared" si="6"/>
        <v>8.98</v>
      </c>
      <c r="H17" s="12">
        <f t="shared" si="6"/>
        <v>8.98</v>
      </c>
      <c r="I17" s="12">
        <f t="shared" si="6"/>
        <v>8.98</v>
      </c>
      <c r="J17" s="12">
        <f t="shared" si="6"/>
        <v>8.98</v>
      </c>
      <c r="K17" s="12">
        <f t="shared" si="6"/>
        <v>8.98</v>
      </c>
      <c r="L17" s="12">
        <f t="shared" si="6"/>
        <v>8.98</v>
      </c>
      <c r="M17" s="12">
        <f t="shared" si="6"/>
        <v>8.98</v>
      </c>
      <c r="N17" s="12">
        <f t="shared" si="6"/>
        <v>8.98</v>
      </c>
    </row>
    <row r="18" spans="1:16" ht="32.25" thickBot="1" x14ac:dyDescent="0.3">
      <c r="A18" s="16" t="s">
        <v>87</v>
      </c>
      <c r="B18" s="17" t="s">
        <v>67</v>
      </c>
      <c r="C18" s="18" t="s">
        <v>78</v>
      </c>
      <c r="D18" s="9">
        <v>8.98</v>
      </c>
      <c r="E18" s="9">
        <v>8.98</v>
      </c>
      <c r="F18" s="9"/>
      <c r="G18" s="9">
        <v>8.98</v>
      </c>
      <c r="H18" s="9">
        <v>8.98</v>
      </c>
      <c r="I18" s="9">
        <v>8.98</v>
      </c>
      <c r="J18" s="9">
        <v>8.98</v>
      </c>
      <c r="K18" s="9">
        <v>8.98</v>
      </c>
      <c r="L18" s="9">
        <v>8.98</v>
      </c>
      <c r="M18" s="9">
        <v>8.98</v>
      </c>
      <c r="N18" s="9">
        <v>8.98</v>
      </c>
      <c r="O18" s="11">
        <f>H18/E18*100</f>
        <v>100</v>
      </c>
      <c r="P18" s="10">
        <f>L18/I18*100</f>
        <v>100</v>
      </c>
    </row>
    <row r="19" spans="1:16" ht="16.5" thickBot="1" x14ac:dyDescent="0.3">
      <c r="A19" s="16" t="s">
        <v>88</v>
      </c>
      <c r="B19" s="17" t="s">
        <v>68</v>
      </c>
      <c r="C19" s="18" t="s">
        <v>78</v>
      </c>
      <c r="D19" s="12"/>
      <c r="E19" s="12"/>
      <c r="F19" s="12">
        <f t="shared" ref="F19" si="7">F20+F21</f>
        <v>0</v>
      </c>
      <c r="G19" s="12"/>
      <c r="H19" s="12"/>
      <c r="I19" s="12"/>
      <c r="J19" s="12"/>
      <c r="K19" s="12"/>
      <c r="L19" s="12"/>
      <c r="M19" s="12"/>
      <c r="N19" s="12"/>
      <c r="P19" s="10" t="e">
        <f>L19/I19*100</f>
        <v>#DIV/0!</v>
      </c>
    </row>
    <row r="20" spans="1:16" ht="32.25" thickBot="1" x14ac:dyDescent="0.3">
      <c r="A20" s="16" t="s">
        <v>76</v>
      </c>
      <c r="B20" s="17" t="s">
        <v>69</v>
      </c>
      <c r="C20" s="18" t="s">
        <v>79</v>
      </c>
      <c r="D20" s="12">
        <f t="shared" ref="D20:E20" si="8">D21+D22+D23</f>
        <v>8.98</v>
      </c>
      <c r="E20" s="12">
        <f t="shared" si="8"/>
        <v>8.98</v>
      </c>
      <c r="F20" s="12">
        <f t="shared" ref="F20:N20" si="9">F21+F22+F23</f>
        <v>0</v>
      </c>
      <c r="G20" s="12">
        <f t="shared" si="9"/>
        <v>8.98</v>
      </c>
      <c r="H20" s="12">
        <f t="shared" si="9"/>
        <v>8.98</v>
      </c>
      <c r="I20" s="12">
        <f t="shared" si="9"/>
        <v>8.98</v>
      </c>
      <c r="J20" s="12">
        <f t="shared" si="9"/>
        <v>8.98</v>
      </c>
      <c r="K20" s="12">
        <f t="shared" si="9"/>
        <v>8.98</v>
      </c>
      <c r="L20" s="12">
        <f t="shared" si="9"/>
        <v>8.98</v>
      </c>
      <c r="M20" s="12">
        <f t="shared" si="9"/>
        <v>8.98</v>
      </c>
      <c r="N20" s="12">
        <f t="shared" si="9"/>
        <v>8.98</v>
      </c>
    </row>
    <row r="21" spans="1:16" ht="16.5" thickBot="1" x14ac:dyDescent="0.3">
      <c r="A21" s="16" t="s">
        <v>89</v>
      </c>
      <c r="B21" s="17" t="s">
        <v>70</v>
      </c>
      <c r="C21" s="18" t="s">
        <v>78</v>
      </c>
      <c r="D21" s="4">
        <v>0</v>
      </c>
      <c r="E21" s="4">
        <v>0</v>
      </c>
      <c r="F21" s="4"/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</row>
    <row r="22" spans="1:16" ht="16.5" thickBot="1" x14ac:dyDescent="0.3">
      <c r="A22" s="16" t="s">
        <v>88</v>
      </c>
      <c r="B22" s="17" t="s">
        <v>71</v>
      </c>
      <c r="C22" s="18" t="s">
        <v>78</v>
      </c>
      <c r="D22" s="4" t="s">
        <v>201</v>
      </c>
      <c r="E22" s="4" t="s">
        <v>201</v>
      </c>
      <c r="F22" s="4"/>
      <c r="G22" s="4" t="s">
        <v>201</v>
      </c>
      <c r="H22" s="4" t="s">
        <v>201</v>
      </c>
      <c r="I22" s="4" t="s">
        <v>201</v>
      </c>
      <c r="J22" s="4" t="s">
        <v>201</v>
      </c>
      <c r="K22" s="4" t="s">
        <v>201</v>
      </c>
      <c r="L22" s="4" t="s">
        <v>201</v>
      </c>
      <c r="M22" s="4" t="s">
        <v>201</v>
      </c>
      <c r="N22" s="4" t="s">
        <v>201</v>
      </c>
    </row>
    <row r="23" spans="1:16" ht="16.5" thickBot="1" x14ac:dyDescent="0.3">
      <c r="A23" s="16" t="s">
        <v>90</v>
      </c>
      <c r="B23" s="17" t="s">
        <v>72</v>
      </c>
      <c r="C23" s="18" t="s">
        <v>79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6" ht="32.25" thickBot="1" x14ac:dyDescent="0.3">
      <c r="A24" s="19" t="s">
        <v>77</v>
      </c>
      <c r="B24" s="17" t="s">
        <v>73</v>
      </c>
      <c r="C24" s="18" t="s">
        <v>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</sheetData>
  <mergeCells count="11">
    <mergeCell ref="K4:L4"/>
    <mergeCell ref="M4:N4"/>
    <mergeCell ref="A2:J2"/>
    <mergeCell ref="B7:I7"/>
    <mergeCell ref="B16:I16"/>
    <mergeCell ref="A4:A5"/>
    <mergeCell ref="B4:B5"/>
    <mergeCell ref="C4:C5"/>
    <mergeCell ref="D4:E4"/>
    <mergeCell ref="G4:H4"/>
    <mergeCell ref="I4:J4"/>
  </mergeCells>
  <pageMargins left="0.70866141732283472" right="0" top="0.39370078740157483" bottom="0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133"/>
  <sheetViews>
    <sheetView tabSelected="1" zoomScale="106" zoomScaleNormal="106" workbookViewId="0">
      <pane xSplit="2" ySplit="4" topLeftCell="C101" activePane="bottomRight" state="frozen"/>
      <selection pane="topRight" activeCell="C1" sqref="C1"/>
      <selection pane="bottomLeft" activeCell="A8" sqref="A8"/>
      <selection pane="bottomRight" activeCell="L57" sqref="L57"/>
    </sheetView>
  </sheetViews>
  <sheetFormatPr defaultRowHeight="15.75" x14ac:dyDescent="0.25"/>
  <cols>
    <col min="1" max="1" width="8.85546875" style="6" customWidth="1"/>
    <col min="2" max="2" width="35.42578125" style="6" customWidth="1"/>
    <col min="3" max="3" width="12.28515625" style="6" customWidth="1"/>
    <col min="4" max="4" width="15" style="6" customWidth="1"/>
    <col min="5" max="5" width="14.85546875" style="6" customWidth="1"/>
    <col min="6" max="6" width="13.7109375" style="6" customWidth="1"/>
    <col min="7" max="7" width="17" style="6" customWidth="1"/>
    <col min="8" max="8" width="14.42578125" style="6" customWidth="1"/>
    <col min="9" max="9" width="18.42578125" style="6" customWidth="1"/>
    <col min="10" max="10" width="14.140625" style="6" customWidth="1"/>
    <col min="11" max="11" width="12.5703125" style="6" customWidth="1"/>
    <col min="12" max="12" width="13.7109375" style="6" customWidth="1"/>
    <col min="13" max="13" width="11.7109375" style="6" customWidth="1"/>
    <col min="14" max="16384" width="9.140625" style="6"/>
  </cols>
  <sheetData>
    <row r="1" spans="1:13" x14ac:dyDescent="0.25">
      <c r="B1" s="7" t="s">
        <v>81</v>
      </c>
      <c r="C1" s="7"/>
      <c r="D1" s="7"/>
    </row>
    <row r="2" spans="1:13" ht="12.75" customHeight="1" x14ac:dyDescent="0.25">
      <c r="A2" s="221" t="s">
        <v>200</v>
      </c>
      <c r="B2" s="221"/>
      <c r="C2" s="221"/>
      <c r="D2" s="221"/>
      <c r="E2" s="221"/>
      <c r="F2" s="221"/>
      <c r="G2" s="221"/>
      <c r="H2" s="221"/>
      <c r="I2" s="221"/>
      <c r="J2" s="221"/>
    </row>
    <row r="3" spans="1:13" ht="12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3" ht="49.5" customHeight="1" x14ac:dyDescent="0.25">
      <c r="A4" s="28" t="s">
        <v>0</v>
      </c>
      <c r="B4" s="28" t="s">
        <v>1</v>
      </c>
      <c r="C4" s="29" t="s">
        <v>2</v>
      </c>
      <c r="D4" s="3" t="s">
        <v>202</v>
      </c>
      <c r="E4" s="2" t="s">
        <v>62</v>
      </c>
      <c r="F4" s="3" t="s">
        <v>55</v>
      </c>
      <c r="G4" s="3" t="s">
        <v>203</v>
      </c>
      <c r="H4" s="3" t="s">
        <v>63</v>
      </c>
      <c r="I4" s="196" t="s">
        <v>64</v>
      </c>
      <c r="J4" s="3" t="s">
        <v>55</v>
      </c>
      <c r="K4" s="3" t="s">
        <v>56</v>
      </c>
      <c r="L4" s="3">
        <v>2018</v>
      </c>
      <c r="M4" s="3">
        <v>2019</v>
      </c>
    </row>
    <row r="5" spans="1:13" x14ac:dyDescent="0.25">
      <c r="A5" s="28"/>
      <c r="B5" s="31" t="s">
        <v>3</v>
      </c>
      <c r="C5" s="32" t="s">
        <v>4</v>
      </c>
      <c r="D5" s="4" t="s">
        <v>21</v>
      </c>
      <c r="E5" s="5" t="s">
        <v>82</v>
      </c>
      <c r="F5" s="8">
        <v>6</v>
      </c>
      <c r="G5" s="9">
        <v>6</v>
      </c>
      <c r="H5" s="9">
        <v>7</v>
      </c>
      <c r="I5" s="197">
        <v>8</v>
      </c>
      <c r="J5" s="9">
        <v>9</v>
      </c>
      <c r="K5" s="9">
        <v>10</v>
      </c>
      <c r="L5" s="9">
        <v>11</v>
      </c>
      <c r="M5" s="9">
        <v>12</v>
      </c>
    </row>
    <row r="6" spans="1:13" x14ac:dyDescent="0.25">
      <c r="A6" s="4" t="s">
        <v>23</v>
      </c>
      <c r="B6" s="33" t="s">
        <v>99</v>
      </c>
      <c r="C6" s="4"/>
      <c r="D6" s="34"/>
      <c r="E6" s="34"/>
      <c r="F6" s="8"/>
      <c r="G6" s="34"/>
      <c r="H6" s="34"/>
      <c r="I6" s="198"/>
      <c r="J6" s="9"/>
      <c r="K6" s="9"/>
      <c r="L6" s="9"/>
      <c r="M6" s="9"/>
    </row>
    <row r="7" spans="1:13" ht="31.5" x14ac:dyDescent="0.25">
      <c r="A7" s="187" t="s">
        <v>25</v>
      </c>
      <c r="B7" s="188" t="s">
        <v>204</v>
      </c>
      <c r="C7" s="189" t="s">
        <v>66</v>
      </c>
      <c r="D7" s="38">
        <f>D8+D9+D10</f>
        <v>0</v>
      </c>
      <c r="E7" s="38">
        <f t="shared" ref="E7:H7" si="0">E8+E9+E10</f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>I8+I9+I10</f>
        <v>0</v>
      </c>
      <c r="J7" s="38">
        <f t="shared" ref="J7:M7" si="1">J8+J9+J10</f>
        <v>0</v>
      </c>
      <c r="K7" s="38">
        <f t="shared" si="1"/>
        <v>0</v>
      </c>
      <c r="L7" s="38">
        <f t="shared" si="1"/>
        <v>0</v>
      </c>
      <c r="M7" s="38">
        <f t="shared" si="1"/>
        <v>0</v>
      </c>
    </row>
    <row r="8" spans="1:13" x14ac:dyDescent="0.25">
      <c r="A8" s="190" t="s">
        <v>27</v>
      </c>
      <c r="B8" s="191" t="s">
        <v>205</v>
      </c>
      <c r="C8" s="192" t="s">
        <v>66</v>
      </c>
      <c r="D8" s="193"/>
      <c r="E8" s="193"/>
      <c r="F8" s="194"/>
      <c r="G8" s="193"/>
      <c r="H8" s="195"/>
      <c r="I8" s="201"/>
      <c r="J8" s="44"/>
      <c r="K8" s="9"/>
      <c r="L8" s="9"/>
      <c r="M8" s="9"/>
    </row>
    <row r="9" spans="1:13" x14ac:dyDescent="0.25">
      <c r="A9" s="190" t="s">
        <v>83</v>
      </c>
      <c r="B9" s="191" t="s">
        <v>206</v>
      </c>
      <c r="C9" s="192" t="s">
        <v>66</v>
      </c>
      <c r="D9" s="193"/>
      <c r="E9" s="193"/>
      <c r="F9" s="194"/>
      <c r="G9" s="193"/>
      <c r="H9" s="195"/>
      <c r="I9" s="201"/>
      <c r="J9" s="44"/>
      <c r="K9" s="9"/>
      <c r="L9" s="9"/>
      <c r="M9" s="9"/>
    </row>
    <row r="10" spans="1:13" x14ac:dyDescent="0.25">
      <c r="A10" s="190" t="s">
        <v>143</v>
      </c>
      <c r="B10" s="191" t="s">
        <v>207</v>
      </c>
      <c r="C10" s="192" t="s">
        <v>66</v>
      </c>
      <c r="D10" s="193"/>
      <c r="E10" s="193"/>
      <c r="F10" s="194"/>
      <c r="G10" s="193"/>
      <c r="H10" s="195"/>
      <c r="I10" s="201"/>
      <c r="J10" s="44"/>
      <c r="K10" s="9"/>
      <c r="L10" s="9"/>
      <c r="M10" s="9"/>
    </row>
    <row r="11" spans="1:13" ht="31.5" x14ac:dyDescent="0.25">
      <c r="A11" s="35" t="s">
        <v>74</v>
      </c>
      <c r="B11" s="36" t="s">
        <v>65</v>
      </c>
      <c r="C11" s="37" t="s">
        <v>66</v>
      </c>
      <c r="D11" s="38">
        <f>D12+D13</f>
        <v>35.93</v>
      </c>
      <c r="E11" s="38">
        <f t="shared" ref="E11:F11" si="2">E12+E13</f>
        <v>35.93</v>
      </c>
      <c r="F11" s="38">
        <f t="shared" si="2"/>
        <v>100</v>
      </c>
      <c r="G11" s="38">
        <f t="shared" ref="G11:H11" si="3">G12+G13</f>
        <v>35.93</v>
      </c>
      <c r="H11" s="38">
        <f t="shared" si="3"/>
        <v>35.93</v>
      </c>
      <c r="I11" s="38">
        <f t="shared" ref="I11:J11" si="4">I12+I13</f>
        <v>35.93</v>
      </c>
      <c r="J11" s="38">
        <f t="shared" si="4"/>
        <v>100</v>
      </c>
      <c r="K11" s="39">
        <f t="shared" ref="K11:K18" si="5">I11-H11</f>
        <v>0</v>
      </c>
      <c r="L11" s="40">
        <f>L12+L13</f>
        <v>35.93</v>
      </c>
      <c r="M11" s="40">
        <f>M12+M13</f>
        <v>35.93</v>
      </c>
    </row>
    <row r="12" spans="1:13" ht="31.5" x14ac:dyDescent="0.25">
      <c r="A12" s="41" t="s">
        <v>27</v>
      </c>
      <c r="B12" s="42" t="s">
        <v>67</v>
      </c>
      <c r="C12" s="43" t="s">
        <v>66</v>
      </c>
      <c r="D12" s="44">
        <v>35.93</v>
      </c>
      <c r="E12" s="44">
        <v>35.93</v>
      </c>
      <c r="F12" s="45">
        <f>E12/E$11*100</f>
        <v>100</v>
      </c>
      <c r="G12" s="44">
        <v>35.93</v>
      </c>
      <c r="H12" s="44">
        <v>35.93</v>
      </c>
      <c r="I12" s="199">
        <f t="shared" ref="I12:I14" si="6">G12</f>
        <v>35.93</v>
      </c>
      <c r="J12" s="45">
        <f>I12/I$11*100</f>
        <v>100</v>
      </c>
      <c r="K12" s="46">
        <f t="shared" si="5"/>
        <v>0</v>
      </c>
      <c r="L12" s="46">
        <f t="shared" ref="L12:L13" si="7">I14</f>
        <v>35.93</v>
      </c>
      <c r="M12" s="46">
        <f t="shared" ref="M12:M13" si="8">I14</f>
        <v>35.93</v>
      </c>
    </row>
    <row r="13" spans="1:13" x14ac:dyDescent="0.25">
      <c r="A13" s="41" t="s">
        <v>83</v>
      </c>
      <c r="B13" s="42" t="s">
        <v>198</v>
      </c>
      <c r="C13" s="43" t="s">
        <v>66</v>
      </c>
      <c r="D13" s="47">
        <v>0</v>
      </c>
      <c r="E13" s="47">
        <v>0</v>
      </c>
      <c r="F13" s="45">
        <f t="shared" ref="F13:F17" si="9">E13/E$11*100</f>
        <v>0</v>
      </c>
      <c r="G13" s="47">
        <v>0</v>
      </c>
      <c r="H13" s="47">
        <v>0</v>
      </c>
      <c r="I13" s="199">
        <f t="shared" si="6"/>
        <v>0</v>
      </c>
      <c r="J13" s="45">
        <f t="shared" ref="J13:J17" si="10">I13/I$11*100</f>
        <v>0</v>
      </c>
      <c r="K13" s="46">
        <f t="shared" si="5"/>
        <v>0</v>
      </c>
      <c r="L13" s="46">
        <f t="shared" si="7"/>
        <v>0</v>
      </c>
      <c r="M13" s="46">
        <f t="shared" si="8"/>
        <v>0</v>
      </c>
    </row>
    <row r="14" spans="1:13" ht="31.5" x14ac:dyDescent="0.25">
      <c r="A14" s="41" t="s">
        <v>30</v>
      </c>
      <c r="B14" s="42" t="s">
        <v>69</v>
      </c>
      <c r="C14" s="43" t="s">
        <v>66</v>
      </c>
      <c r="D14" s="47">
        <f t="shared" ref="D14:E14" si="11">D15+D16+D17</f>
        <v>35.93</v>
      </c>
      <c r="E14" s="47">
        <f t="shared" si="11"/>
        <v>35.93</v>
      </c>
      <c r="F14" s="45">
        <f t="shared" si="9"/>
        <v>100</v>
      </c>
      <c r="G14" s="47">
        <f t="shared" ref="G14:H14" si="12">G15+G16+G17</f>
        <v>35.93</v>
      </c>
      <c r="H14" s="47">
        <f t="shared" si="12"/>
        <v>35.93</v>
      </c>
      <c r="I14" s="199">
        <f t="shared" si="6"/>
        <v>35.93</v>
      </c>
      <c r="J14" s="45">
        <f t="shared" si="10"/>
        <v>100</v>
      </c>
      <c r="K14" s="46">
        <f t="shared" si="5"/>
        <v>0</v>
      </c>
      <c r="L14" s="9"/>
      <c r="M14" s="9"/>
    </row>
    <row r="15" spans="1:13" x14ac:dyDescent="0.25">
      <c r="A15" s="41" t="s">
        <v>84</v>
      </c>
      <c r="B15" s="42" t="s">
        <v>70</v>
      </c>
      <c r="C15" s="43" t="s">
        <v>66</v>
      </c>
      <c r="D15" s="48">
        <v>0</v>
      </c>
      <c r="E15" s="48">
        <v>0</v>
      </c>
      <c r="F15" s="45">
        <f t="shared" si="9"/>
        <v>0</v>
      </c>
      <c r="G15" s="48">
        <v>0</v>
      </c>
      <c r="H15" s="48">
        <v>0</v>
      </c>
      <c r="I15" s="199">
        <f>G15</f>
        <v>0</v>
      </c>
      <c r="J15" s="45">
        <f t="shared" si="10"/>
        <v>0</v>
      </c>
      <c r="K15" s="46">
        <f t="shared" si="5"/>
        <v>0</v>
      </c>
      <c r="L15" s="46">
        <f t="shared" ref="L15:L17" si="13">I17</f>
        <v>0</v>
      </c>
      <c r="M15" s="46">
        <f t="shared" ref="M15:M17" si="14">I17</f>
        <v>0</v>
      </c>
    </row>
    <row r="16" spans="1:13" x14ac:dyDescent="0.25">
      <c r="A16" s="41" t="s">
        <v>85</v>
      </c>
      <c r="B16" s="42" t="s">
        <v>71</v>
      </c>
      <c r="C16" s="43" t="s">
        <v>66</v>
      </c>
      <c r="D16" s="48">
        <v>35.93</v>
      </c>
      <c r="E16" s="48">
        <v>35.93</v>
      </c>
      <c r="F16" s="45">
        <f t="shared" si="9"/>
        <v>100</v>
      </c>
      <c r="G16" s="48">
        <v>35.93</v>
      </c>
      <c r="H16" s="48">
        <v>35.93</v>
      </c>
      <c r="I16" s="199">
        <f t="shared" ref="I16" si="15">G16</f>
        <v>35.93</v>
      </c>
      <c r="J16" s="45">
        <f t="shared" si="10"/>
        <v>100</v>
      </c>
      <c r="K16" s="46">
        <f t="shared" si="5"/>
        <v>0</v>
      </c>
      <c r="L16" s="46">
        <f t="shared" si="13"/>
        <v>0</v>
      </c>
      <c r="M16" s="46">
        <f t="shared" si="14"/>
        <v>0</v>
      </c>
    </row>
    <row r="17" spans="1:13" x14ac:dyDescent="0.25">
      <c r="A17" s="41" t="s">
        <v>86</v>
      </c>
      <c r="B17" s="42" t="s">
        <v>72</v>
      </c>
      <c r="C17" s="43" t="s">
        <v>66</v>
      </c>
      <c r="D17" s="48"/>
      <c r="E17" s="48"/>
      <c r="F17" s="45">
        <f t="shared" si="9"/>
        <v>0</v>
      </c>
      <c r="G17" s="48"/>
      <c r="H17" s="48"/>
      <c r="I17" s="199"/>
      <c r="J17" s="45">
        <f t="shared" si="10"/>
        <v>0</v>
      </c>
      <c r="K17" s="46">
        <f t="shared" si="5"/>
        <v>0</v>
      </c>
      <c r="L17" s="46">
        <f t="shared" si="13"/>
        <v>0</v>
      </c>
      <c r="M17" s="46">
        <f t="shared" si="14"/>
        <v>0</v>
      </c>
    </row>
    <row r="18" spans="1:13" ht="31.5" x14ac:dyDescent="0.25">
      <c r="A18" s="41" t="s">
        <v>32</v>
      </c>
      <c r="B18" s="42" t="s">
        <v>73</v>
      </c>
      <c r="C18" s="43" t="s">
        <v>6</v>
      </c>
      <c r="D18" s="48"/>
      <c r="E18" s="48"/>
      <c r="F18" s="46"/>
      <c r="G18" s="48"/>
      <c r="H18" s="48"/>
      <c r="I18" s="199"/>
      <c r="J18" s="46"/>
      <c r="K18" s="46">
        <f t="shared" si="5"/>
        <v>0</v>
      </c>
      <c r="L18" s="49"/>
      <c r="M18" s="49"/>
    </row>
    <row r="19" spans="1:13" x14ac:dyDescent="0.25">
      <c r="A19" s="4" t="s">
        <v>80</v>
      </c>
      <c r="B19" s="33" t="s">
        <v>100</v>
      </c>
      <c r="C19" s="4"/>
      <c r="D19" s="44"/>
      <c r="E19" s="44"/>
      <c r="F19" s="9"/>
      <c r="G19" s="44"/>
      <c r="H19" s="44"/>
      <c r="I19" s="200"/>
      <c r="J19" s="9"/>
      <c r="K19" s="9"/>
      <c r="L19" s="50"/>
      <c r="M19" s="50"/>
    </row>
    <row r="20" spans="1:13" ht="31.5" x14ac:dyDescent="0.25">
      <c r="A20" s="35" t="s">
        <v>75</v>
      </c>
      <c r="B20" s="36" t="s">
        <v>65</v>
      </c>
      <c r="C20" s="37" t="s">
        <v>78</v>
      </c>
      <c r="D20" s="38">
        <f t="shared" ref="D20:F20" si="16">D21+D22</f>
        <v>8.98</v>
      </c>
      <c r="E20" s="38">
        <f t="shared" ref="E20" si="17">E21+E22</f>
        <v>8.98</v>
      </c>
      <c r="F20" s="38">
        <f t="shared" si="16"/>
        <v>100</v>
      </c>
      <c r="G20" s="38">
        <f t="shared" ref="G20:H20" si="18">G21+G22</f>
        <v>8.98</v>
      </c>
      <c r="H20" s="38">
        <f t="shared" si="18"/>
        <v>8.98</v>
      </c>
      <c r="I20" s="38">
        <f t="shared" ref="I20:J20" si="19">I21+I22</f>
        <v>4.2397399999999994</v>
      </c>
      <c r="J20" s="38">
        <f t="shared" si="19"/>
        <v>100</v>
      </c>
      <c r="K20" s="39">
        <f t="shared" ref="K20:K27" si="20">I20-H20</f>
        <v>-4.740260000000001</v>
      </c>
      <c r="L20" s="40">
        <f t="shared" ref="L20:M20" si="21">L21+L22</f>
        <v>4.2397399999999994</v>
      </c>
      <c r="M20" s="40">
        <f t="shared" si="21"/>
        <v>4.2397399999999994</v>
      </c>
    </row>
    <row r="21" spans="1:13" ht="31.5" x14ac:dyDescent="0.25">
      <c r="A21" s="41" t="s">
        <v>87</v>
      </c>
      <c r="B21" s="42" t="s">
        <v>67</v>
      </c>
      <c r="C21" s="43" t="s">
        <v>78</v>
      </c>
      <c r="D21" s="44">
        <v>8.98</v>
      </c>
      <c r="E21" s="44">
        <v>8.98</v>
      </c>
      <c r="F21" s="45">
        <f>E21/E$20*100</f>
        <v>100</v>
      </c>
      <c r="G21" s="44">
        <v>8.98</v>
      </c>
      <c r="H21" s="44">
        <v>8.98</v>
      </c>
      <c r="I21" s="202">
        <f>I12*0.118</f>
        <v>4.2397399999999994</v>
      </c>
      <c r="J21" s="45">
        <f>I21/I$20*100</f>
        <v>100</v>
      </c>
      <c r="K21" s="46"/>
      <c r="L21" s="46">
        <f t="shared" ref="L21:L22" si="22">I23</f>
        <v>4.2397399999999994</v>
      </c>
      <c r="M21" s="46">
        <f t="shared" ref="M21:M22" si="23">I23</f>
        <v>4.2397399999999994</v>
      </c>
    </row>
    <row r="22" spans="1:13" x14ac:dyDescent="0.25">
      <c r="A22" s="41" t="s">
        <v>88</v>
      </c>
      <c r="B22" s="42" t="s">
        <v>198</v>
      </c>
      <c r="C22" s="43" t="s">
        <v>78</v>
      </c>
      <c r="D22" s="47"/>
      <c r="E22" s="47"/>
      <c r="F22" s="45">
        <f>E22/E$20*100</f>
        <v>0</v>
      </c>
      <c r="G22" s="47"/>
      <c r="H22" s="47"/>
      <c r="I22" s="203"/>
      <c r="J22" s="45">
        <f>I22/I$20*100</f>
        <v>0</v>
      </c>
      <c r="K22" s="46">
        <f t="shared" si="20"/>
        <v>0</v>
      </c>
      <c r="L22" s="46">
        <f t="shared" si="22"/>
        <v>0</v>
      </c>
      <c r="M22" s="46">
        <f t="shared" si="23"/>
        <v>0</v>
      </c>
    </row>
    <row r="23" spans="1:13" ht="31.5" x14ac:dyDescent="0.25">
      <c r="A23" s="41" t="s">
        <v>76</v>
      </c>
      <c r="B23" s="42" t="s">
        <v>69</v>
      </c>
      <c r="C23" s="43" t="s">
        <v>79</v>
      </c>
      <c r="D23" s="47">
        <f t="shared" ref="D23" si="24">D24+D25+D26</f>
        <v>8.98</v>
      </c>
      <c r="E23" s="47">
        <f t="shared" ref="E23" si="25">E24+E25+E26</f>
        <v>8.98</v>
      </c>
      <c r="F23" s="45">
        <f>E32/E$14*100</f>
        <v>0</v>
      </c>
      <c r="G23" s="47">
        <f t="shared" ref="G23:H23" si="26">G24+G25+G26</f>
        <v>8.98</v>
      </c>
      <c r="H23" s="47">
        <f t="shared" si="26"/>
        <v>8.98</v>
      </c>
      <c r="I23" s="203">
        <f t="shared" ref="I23" si="27">I24+I25+I26</f>
        <v>4.2397399999999994</v>
      </c>
      <c r="J23" s="45">
        <f>I32/I$14*100</f>
        <v>0</v>
      </c>
      <c r="K23" s="46">
        <f t="shared" si="20"/>
        <v>-4.740260000000001</v>
      </c>
      <c r="L23" s="12">
        <f t="shared" ref="L23:M23" si="28">L24+L25+L26</f>
        <v>0</v>
      </c>
      <c r="M23" s="12">
        <f t="shared" si="28"/>
        <v>0</v>
      </c>
    </row>
    <row r="24" spans="1:13" x14ac:dyDescent="0.25">
      <c r="A24" s="41" t="s">
        <v>89</v>
      </c>
      <c r="B24" s="42" t="s">
        <v>70</v>
      </c>
      <c r="C24" s="43" t="s">
        <v>78</v>
      </c>
      <c r="D24" s="48">
        <v>0</v>
      </c>
      <c r="E24" s="48">
        <v>0</v>
      </c>
      <c r="F24" s="45">
        <f t="shared" ref="F24:F25" si="29">E33/E$14*100</f>
        <v>0</v>
      </c>
      <c r="G24" s="34">
        <v>0</v>
      </c>
      <c r="H24" s="48">
        <v>0</v>
      </c>
      <c r="I24" s="200">
        <f>I15*0.118</f>
        <v>0</v>
      </c>
      <c r="J24" s="45">
        <f t="shared" ref="J24:J25" si="30">I33/I$14*100</f>
        <v>0</v>
      </c>
      <c r="K24" s="46">
        <f t="shared" si="20"/>
        <v>0</v>
      </c>
      <c r="L24" s="46">
        <f>I26</f>
        <v>0</v>
      </c>
      <c r="M24" s="46">
        <f>I26</f>
        <v>0</v>
      </c>
    </row>
    <row r="25" spans="1:13" x14ac:dyDescent="0.25">
      <c r="A25" s="41" t="s">
        <v>88</v>
      </c>
      <c r="B25" s="42" t="s">
        <v>71</v>
      </c>
      <c r="C25" s="43" t="s">
        <v>78</v>
      </c>
      <c r="D25" s="34" t="s">
        <v>201</v>
      </c>
      <c r="E25" s="34" t="s">
        <v>201</v>
      </c>
      <c r="F25" s="45">
        <f t="shared" si="29"/>
        <v>2634.322293348177</v>
      </c>
      <c r="G25" s="34" t="s">
        <v>201</v>
      </c>
      <c r="H25" s="34" t="s">
        <v>201</v>
      </c>
      <c r="I25" s="202">
        <f>I16*0.118</f>
        <v>4.2397399999999994</v>
      </c>
      <c r="J25" s="45">
        <f t="shared" si="30"/>
        <v>7835.1112585583069</v>
      </c>
      <c r="K25" s="46">
        <f t="shared" si="20"/>
        <v>-4.740260000000001</v>
      </c>
      <c r="L25" s="46">
        <f>I27</f>
        <v>0</v>
      </c>
      <c r="M25" s="46">
        <f>I27</f>
        <v>0</v>
      </c>
    </row>
    <row r="26" spans="1:13" x14ac:dyDescent="0.25">
      <c r="A26" s="41" t="s">
        <v>90</v>
      </c>
      <c r="B26" s="42" t="s">
        <v>72</v>
      </c>
      <c r="C26" s="43" t="s">
        <v>79</v>
      </c>
      <c r="D26" s="34"/>
      <c r="E26" s="34"/>
      <c r="F26" s="4"/>
      <c r="G26" s="34"/>
      <c r="H26" s="34"/>
      <c r="I26" s="198"/>
      <c r="J26" s="4"/>
      <c r="K26" s="46">
        <f t="shared" si="20"/>
        <v>0</v>
      </c>
      <c r="L26" s="51"/>
      <c r="M26" s="51"/>
    </row>
    <row r="27" spans="1:13" ht="31.5" x14ac:dyDescent="0.25">
      <c r="A27" s="43" t="s">
        <v>77</v>
      </c>
      <c r="B27" s="42" t="s">
        <v>73</v>
      </c>
      <c r="C27" s="43" t="s">
        <v>6</v>
      </c>
      <c r="D27" s="34"/>
      <c r="E27" s="34"/>
      <c r="F27" s="4"/>
      <c r="G27" s="34"/>
      <c r="H27" s="34"/>
      <c r="I27" s="198"/>
      <c r="J27" s="4"/>
      <c r="K27" s="46">
        <f t="shared" si="20"/>
        <v>0</v>
      </c>
      <c r="L27" s="51"/>
      <c r="M27" s="51"/>
    </row>
    <row r="28" spans="1:13" x14ac:dyDescent="0.25">
      <c r="A28" s="52" t="s">
        <v>23</v>
      </c>
      <c r="B28" s="52" t="s">
        <v>24</v>
      </c>
      <c r="C28" s="53" t="s">
        <v>22</v>
      </c>
      <c r="D28" s="54">
        <f>D29+D64+D81</f>
        <v>8450.0064920000004</v>
      </c>
      <c r="E28" s="54">
        <f>E29+E64+E81</f>
        <v>8520.805135999999</v>
      </c>
      <c r="F28" s="54">
        <f>F29+F64+F81</f>
        <v>94.914320421437026</v>
      </c>
      <c r="G28" s="54">
        <f>G29+G64+G81</f>
        <v>8864.2549159999999</v>
      </c>
      <c r="H28" s="54">
        <f t="shared" ref="H28:I28" si="31">H29+H64+H81</f>
        <v>10049.663734000002</v>
      </c>
      <c r="I28" s="54">
        <f t="shared" si="31"/>
        <v>9056.0828211999997</v>
      </c>
      <c r="J28" s="54">
        <f>J29+J64+J81</f>
        <v>97.218858622062186</v>
      </c>
      <c r="K28" s="54">
        <f>K29+K64+K81</f>
        <v>-499.62091280000061</v>
      </c>
      <c r="L28" s="163">
        <f t="shared" ref="L28:M28" si="32">L29+L64+L81</f>
        <v>9321.9027403731197</v>
      </c>
      <c r="M28" s="163">
        <f t="shared" si="32"/>
        <v>9596.5317291537649</v>
      </c>
    </row>
    <row r="29" spans="1:13" ht="19.5" customHeight="1" x14ac:dyDescent="0.25">
      <c r="A29" s="55" t="s">
        <v>25</v>
      </c>
      <c r="B29" s="55" t="s">
        <v>26</v>
      </c>
      <c r="C29" s="56" t="s">
        <v>22</v>
      </c>
      <c r="D29" s="57">
        <f>D30+D31+D34++D47+D48+D49+D54+D55+D56+D57+D58+D59+D60+D63</f>
        <v>8450.0064920000004</v>
      </c>
      <c r="E29" s="57">
        <f>E30+E31+E34++E47+E48+E49+E54+E55+E56+E57+E58+E59+E60+E63</f>
        <v>8520.805135999999</v>
      </c>
      <c r="F29" s="57">
        <f t="shared" ref="F29:K29" si="33">F30+F31+F34+F48+F49+F54+F55+F56+F57+F58+F59+F60+F63</f>
        <v>94.914320421437026</v>
      </c>
      <c r="G29" s="57">
        <f t="shared" si="33"/>
        <v>8864.2549159999999</v>
      </c>
      <c r="H29" s="57">
        <f t="shared" si="33"/>
        <v>10049.663734000002</v>
      </c>
      <c r="I29" s="57">
        <f t="shared" si="33"/>
        <v>8912.8351072000005</v>
      </c>
      <c r="J29" s="57">
        <f t="shared" si="33"/>
        <v>95.681065789304697</v>
      </c>
      <c r="K29" s="57">
        <f t="shared" si="33"/>
        <v>-642.86862680000058</v>
      </c>
      <c r="L29" s="164">
        <f t="shared" ref="L29:M29" si="34">L30+L31+L34+L48+L49+L54+L55+L56+L57+L58+L59+L60+L63</f>
        <v>9176.6550263731206</v>
      </c>
      <c r="M29" s="164">
        <f t="shared" si="34"/>
        <v>9448.2840151537657</v>
      </c>
    </row>
    <row r="30" spans="1:13" ht="32.25" customHeight="1" x14ac:dyDescent="0.25">
      <c r="A30" s="58" t="s">
        <v>27</v>
      </c>
      <c r="B30" s="59" t="s">
        <v>142</v>
      </c>
      <c r="C30" s="60" t="s">
        <v>22</v>
      </c>
      <c r="D30" s="61"/>
      <c r="E30" s="61"/>
      <c r="F30" s="45">
        <f>E30/E$110*100</f>
        <v>0</v>
      </c>
      <c r="G30" s="61"/>
      <c r="H30" s="61"/>
      <c r="I30" s="204">
        <f>G30</f>
        <v>0</v>
      </c>
      <c r="J30" s="45">
        <f>I30/I$110*100</f>
        <v>0</v>
      </c>
      <c r="K30" s="46">
        <f>I30-H30</f>
        <v>0</v>
      </c>
      <c r="L30" s="165">
        <f>I30*(100-L$117)%*(100+L$118)%</f>
        <v>0</v>
      </c>
      <c r="M30" s="165">
        <f t="shared" ref="M30:M35" si="35">L30*(100-M$117)%*(100+M$118)%</f>
        <v>0</v>
      </c>
    </row>
    <row r="31" spans="1:13" ht="59.25" customHeight="1" x14ac:dyDescent="0.25">
      <c r="A31" s="62" t="s">
        <v>83</v>
      </c>
      <c r="B31" s="63" t="s">
        <v>131</v>
      </c>
      <c r="C31" s="60" t="s">
        <v>22</v>
      </c>
      <c r="D31" s="61">
        <f>D32+D33</f>
        <v>0</v>
      </c>
      <c r="E31" s="61">
        <f>E32+E33</f>
        <v>0</v>
      </c>
      <c r="F31" s="45">
        <f>E31/E$110*100</f>
        <v>0</v>
      </c>
      <c r="G31" s="61">
        <f>G32+G33</f>
        <v>0</v>
      </c>
      <c r="H31" s="61">
        <f t="shared" ref="H31" si="36">H32+H33</f>
        <v>0</v>
      </c>
      <c r="I31" s="204">
        <f>I32+I33</f>
        <v>0</v>
      </c>
      <c r="J31" s="45">
        <f>I31/I$110*100</f>
        <v>0</v>
      </c>
      <c r="K31" s="46">
        <f t="shared" ref="K31:K71" si="37">I31-H31</f>
        <v>0</v>
      </c>
      <c r="L31" s="166">
        <f>L32+L33</f>
        <v>0</v>
      </c>
      <c r="M31" s="166">
        <f>M32+M33</f>
        <v>0</v>
      </c>
    </row>
    <row r="32" spans="1:13" ht="24" customHeight="1" x14ac:dyDescent="0.25">
      <c r="A32" s="62" t="s">
        <v>144</v>
      </c>
      <c r="B32" s="64" t="s">
        <v>151</v>
      </c>
      <c r="C32" s="60" t="s">
        <v>22</v>
      </c>
      <c r="D32" s="61"/>
      <c r="E32" s="61"/>
      <c r="F32" s="65"/>
      <c r="G32" s="61"/>
      <c r="H32" s="61"/>
      <c r="I32" s="204">
        <f t="shared" ref="I32:I33" si="38">G32</f>
        <v>0</v>
      </c>
      <c r="J32" s="65"/>
      <c r="K32" s="46"/>
      <c r="L32" s="165">
        <f>I32*(100-L$117)%*(100+L$118)%</f>
        <v>0</v>
      </c>
      <c r="M32" s="165">
        <f>L32*(100-M$117)%*(100+M$118)%</f>
        <v>0</v>
      </c>
    </row>
    <row r="33" spans="1:13" ht="13.5" customHeight="1" x14ac:dyDescent="0.25">
      <c r="A33" s="62" t="s">
        <v>145</v>
      </c>
      <c r="B33" s="64" t="s">
        <v>152</v>
      </c>
      <c r="C33" s="60" t="s">
        <v>22</v>
      </c>
      <c r="D33" s="61"/>
      <c r="E33" s="61"/>
      <c r="F33" s="65"/>
      <c r="G33" s="61"/>
      <c r="H33" s="61"/>
      <c r="I33" s="204">
        <f t="shared" si="38"/>
        <v>0</v>
      </c>
      <c r="J33" s="65"/>
      <c r="K33" s="46"/>
      <c r="L33" s="165">
        <f>I33*(100-L$117)%*(100+L$118)%</f>
        <v>0</v>
      </c>
      <c r="M33" s="165">
        <f t="shared" si="35"/>
        <v>0</v>
      </c>
    </row>
    <row r="34" spans="1:13" ht="61.5" customHeight="1" x14ac:dyDescent="0.25">
      <c r="A34" s="62" t="s">
        <v>143</v>
      </c>
      <c r="B34" s="66" t="s">
        <v>146</v>
      </c>
      <c r="C34" s="60" t="s">
        <v>22</v>
      </c>
      <c r="D34" s="67">
        <f t="shared" ref="D34" si="39">D35+D59</f>
        <v>937.76400000000001</v>
      </c>
      <c r="E34" s="67">
        <f t="shared" ref="E34" si="40">E35+E59</f>
        <v>946.51199999999994</v>
      </c>
      <c r="F34" s="45">
        <f>E34/E$110*100</f>
        <v>10.910543153293339</v>
      </c>
      <c r="G34" s="205">
        <f>G35+G38+G41+G44+G47</f>
        <v>3037.7777159999996</v>
      </c>
      <c r="H34" s="205">
        <f>H35+H38+H41+H44+H47</f>
        <v>3046.7762340000004</v>
      </c>
      <c r="I34" s="205">
        <f>I35+I38+I41+I44+I47</f>
        <v>2815.1554751999997</v>
      </c>
      <c r="J34" s="45">
        <f>I34/I$110*100</f>
        <v>30.221256535099535</v>
      </c>
      <c r="K34" s="46">
        <f t="shared" si="37"/>
        <v>-231.62075880000066</v>
      </c>
      <c r="L34" s="167">
        <f>L35+L41+L44+L47</f>
        <v>2898.48407726592</v>
      </c>
      <c r="M34" s="167">
        <f>M35+M41+M44+M47</f>
        <v>2984.2792059529911</v>
      </c>
    </row>
    <row r="35" spans="1:13" ht="22.5" customHeight="1" x14ac:dyDescent="0.25">
      <c r="A35" s="62" t="s">
        <v>147</v>
      </c>
      <c r="B35" s="68" t="s">
        <v>132</v>
      </c>
      <c r="C35" s="69" t="s">
        <v>8</v>
      </c>
      <c r="D35" s="61">
        <f t="shared" ref="D35" si="41">D36*D37*12/1000</f>
        <v>937.76400000000001</v>
      </c>
      <c r="E35" s="61">
        <f t="shared" ref="E35" si="42">E36*E37*12/1000</f>
        <v>946.51199999999994</v>
      </c>
      <c r="F35" s="45">
        <f>E35/E$110*100</f>
        <v>10.910543153293339</v>
      </c>
      <c r="G35" s="61">
        <f t="shared" ref="G35:H35" si="43">G36*G37*12/1000</f>
        <v>983.77200000000005</v>
      </c>
      <c r="H35" s="61">
        <f t="shared" si="43"/>
        <v>950.77800000000002</v>
      </c>
      <c r="I35" s="204">
        <f>H35</f>
        <v>950.77800000000002</v>
      </c>
      <c r="J35" s="45">
        <f>I35/I$110*100</f>
        <v>10.206791809211712</v>
      </c>
      <c r="K35" s="46">
        <f t="shared" si="37"/>
        <v>0</v>
      </c>
      <c r="L35" s="165">
        <f>I35*(100-L$117)%*(100+L$118)%</f>
        <v>978.92102880000004</v>
      </c>
      <c r="M35" s="165">
        <f t="shared" si="35"/>
        <v>1007.89709125248</v>
      </c>
    </row>
    <row r="36" spans="1:13" x14ac:dyDescent="0.25">
      <c r="A36" s="70"/>
      <c r="B36" s="71" t="s">
        <v>133</v>
      </c>
      <c r="C36" s="69" t="s">
        <v>15</v>
      </c>
      <c r="D36" s="61">
        <v>4.5</v>
      </c>
      <c r="E36" s="61">
        <v>4.5</v>
      </c>
      <c r="F36" s="65"/>
      <c r="G36" s="61">
        <v>4.5</v>
      </c>
      <c r="H36" s="61">
        <v>4.5</v>
      </c>
      <c r="I36" s="204">
        <f>G36</f>
        <v>4.5</v>
      </c>
      <c r="J36" s="65"/>
      <c r="K36" s="46">
        <f t="shared" si="37"/>
        <v>0</v>
      </c>
      <c r="L36" s="168">
        <f>I36</f>
        <v>4.5</v>
      </c>
      <c r="M36" s="168">
        <f>I36</f>
        <v>4.5</v>
      </c>
    </row>
    <row r="37" spans="1:13" x14ac:dyDescent="0.25">
      <c r="A37" s="73"/>
      <c r="B37" s="71" t="s">
        <v>134</v>
      </c>
      <c r="C37" s="69" t="s">
        <v>12</v>
      </c>
      <c r="D37" s="61">
        <v>17366</v>
      </c>
      <c r="E37" s="61">
        <v>17528</v>
      </c>
      <c r="F37" s="65"/>
      <c r="G37" s="61">
        <v>18218</v>
      </c>
      <c r="H37" s="61">
        <v>17607</v>
      </c>
      <c r="I37" s="206">
        <f>I35/I36/12*1000</f>
        <v>17607</v>
      </c>
      <c r="J37" s="65"/>
      <c r="K37" s="46">
        <f t="shared" si="37"/>
        <v>0</v>
      </c>
      <c r="L37" s="165">
        <f>L35/L36/12*1000</f>
        <v>18128.1672</v>
      </c>
      <c r="M37" s="165">
        <f>M35/M36/12*1000</f>
        <v>18664.760949119998</v>
      </c>
    </row>
    <row r="38" spans="1:13" ht="31.5" x14ac:dyDescent="0.25">
      <c r="A38" s="62" t="s">
        <v>148</v>
      </c>
      <c r="B38" s="74" t="s">
        <v>135</v>
      </c>
      <c r="C38" s="69" t="s">
        <v>8</v>
      </c>
      <c r="D38" s="61">
        <f t="shared" ref="D38" si="44">D39*D40*12/1000</f>
        <v>0</v>
      </c>
      <c r="E38" s="61">
        <f t="shared" ref="E38" si="45">E39*E40*12/1000</f>
        <v>0</v>
      </c>
      <c r="F38" s="45">
        <f>E38/E$110*100</f>
        <v>0</v>
      </c>
      <c r="G38" s="61">
        <f t="shared" ref="G38:H38" si="46">G39*G40*12/1000</f>
        <v>0</v>
      </c>
      <c r="H38" s="61">
        <f t="shared" si="46"/>
        <v>0</v>
      </c>
      <c r="I38" s="204">
        <f t="shared" ref="I38" si="47">H38</f>
        <v>0</v>
      </c>
      <c r="J38" s="45">
        <f>I38/I$110*100</f>
        <v>0</v>
      </c>
      <c r="K38" s="46"/>
      <c r="L38" s="165">
        <f>I38*(100-L$117)%*(100+L$118)%</f>
        <v>0</v>
      </c>
      <c r="M38" s="165">
        <f>L38*(100-M$117)%*(100+M$118)%</f>
        <v>0</v>
      </c>
    </row>
    <row r="39" spans="1:13" x14ac:dyDescent="0.25">
      <c r="A39" s="70"/>
      <c r="B39" s="71" t="s">
        <v>133</v>
      </c>
      <c r="C39" s="69" t="s">
        <v>15</v>
      </c>
      <c r="D39" s="61"/>
      <c r="E39" s="61"/>
      <c r="F39" s="65"/>
      <c r="G39" s="61"/>
      <c r="H39" s="61"/>
      <c r="I39" s="204">
        <f t="shared" ref="I39" si="48">G39</f>
        <v>0</v>
      </c>
      <c r="J39" s="65"/>
      <c r="K39" s="46"/>
      <c r="L39" s="168">
        <f>I39</f>
        <v>0</v>
      </c>
      <c r="M39" s="168">
        <f>I39</f>
        <v>0</v>
      </c>
    </row>
    <row r="40" spans="1:13" x14ac:dyDescent="0.25">
      <c r="A40" s="73"/>
      <c r="B40" s="71" t="s">
        <v>134</v>
      </c>
      <c r="C40" s="69" t="s">
        <v>12</v>
      </c>
      <c r="D40" s="61"/>
      <c r="E40" s="61"/>
      <c r="F40" s="65"/>
      <c r="G40" s="61"/>
      <c r="H40" s="61"/>
      <c r="I40" s="206" t="e">
        <f t="shared" ref="I40" si="49">I38/I39/12*1000</f>
        <v>#DIV/0!</v>
      </c>
      <c r="J40" s="65"/>
      <c r="K40" s="46"/>
      <c r="L40" s="165" t="e">
        <f>L38/L39/12*1000</f>
        <v>#DIV/0!</v>
      </c>
      <c r="M40" s="165" t="e">
        <f>M38/M39/12*1000</f>
        <v>#DIV/0!</v>
      </c>
    </row>
    <row r="41" spans="1:13" ht="31.5" x14ac:dyDescent="0.25">
      <c r="A41" s="62" t="s">
        <v>149</v>
      </c>
      <c r="B41" s="74" t="s">
        <v>136</v>
      </c>
      <c r="C41" s="69" t="s">
        <v>8</v>
      </c>
      <c r="D41" s="61">
        <f t="shared" ref="D41" si="50">D42*D43*12/1000</f>
        <v>0</v>
      </c>
      <c r="E41" s="61">
        <f t="shared" ref="E41" si="51">E42*E43*12/1000</f>
        <v>0</v>
      </c>
      <c r="F41" s="45">
        <f>E41/E$110*100</f>
        <v>0</v>
      </c>
      <c r="G41" s="61">
        <f t="shared" ref="G41:H41" si="52">G42*G43*12/1000</f>
        <v>0</v>
      </c>
      <c r="H41" s="61">
        <f t="shared" si="52"/>
        <v>0</v>
      </c>
      <c r="I41" s="204">
        <f t="shared" ref="I41" si="53">H41</f>
        <v>0</v>
      </c>
      <c r="J41" s="45">
        <f>I41/I$110*100</f>
        <v>0</v>
      </c>
      <c r="K41" s="46"/>
      <c r="L41" s="165">
        <f>I41*(100-L$117)%*(100+L$118)%</f>
        <v>0</v>
      </c>
      <c r="M41" s="165">
        <f>L41*(100-M$117)%*(100+M$118)%</f>
        <v>0</v>
      </c>
    </row>
    <row r="42" spans="1:13" x14ac:dyDescent="0.25">
      <c r="A42" s="70"/>
      <c r="B42" s="71" t="s">
        <v>133</v>
      </c>
      <c r="C42" s="69" t="s">
        <v>15</v>
      </c>
      <c r="D42" s="61"/>
      <c r="E42" s="61"/>
      <c r="F42" s="65"/>
      <c r="G42" s="61"/>
      <c r="H42" s="61"/>
      <c r="I42" s="204">
        <f t="shared" ref="I42" si="54">G42</f>
        <v>0</v>
      </c>
      <c r="J42" s="65"/>
      <c r="K42" s="46"/>
      <c r="L42" s="168">
        <f>I42</f>
        <v>0</v>
      </c>
      <c r="M42" s="168">
        <f>I42</f>
        <v>0</v>
      </c>
    </row>
    <row r="43" spans="1:13" x14ac:dyDescent="0.25">
      <c r="A43" s="73"/>
      <c r="B43" s="71" t="s">
        <v>134</v>
      </c>
      <c r="C43" s="69" t="s">
        <v>12</v>
      </c>
      <c r="D43" s="61"/>
      <c r="E43" s="61"/>
      <c r="F43" s="65"/>
      <c r="G43" s="61"/>
      <c r="H43" s="61"/>
      <c r="I43" s="206" t="e">
        <f t="shared" ref="I43" si="55">I41/I42/12*1000</f>
        <v>#DIV/0!</v>
      </c>
      <c r="J43" s="65"/>
      <c r="K43" s="46"/>
      <c r="L43" s="165" t="e">
        <f>L41/L42/12*1000</f>
        <v>#DIV/0!</v>
      </c>
      <c r="M43" s="165" t="e">
        <f>M41/M42/12*1000</f>
        <v>#DIV/0!</v>
      </c>
    </row>
    <row r="44" spans="1:13" x14ac:dyDescent="0.25">
      <c r="A44" s="62" t="s">
        <v>150</v>
      </c>
      <c r="B44" s="74" t="s">
        <v>137</v>
      </c>
      <c r="C44" s="69" t="s">
        <v>8</v>
      </c>
      <c r="D44" s="61">
        <f t="shared" ref="D44" si="56">D45*D46*12/1000</f>
        <v>1284.5999999999999</v>
      </c>
      <c r="E44" s="61">
        <v>1345.8</v>
      </c>
      <c r="F44" s="45">
        <f>E44/E$110*100</f>
        <v>15.513177831556469</v>
      </c>
      <c r="G44" s="61">
        <f t="shared" ref="G44:H44" si="57">G45*G46*12/1000</f>
        <v>1347.6</v>
      </c>
      <c r="H44" s="61">
        <f t="shared" si="57"/>
        <v>1387.5</v>
      </c>
      <c r="I44" s="204">
        <f>2019.6*59.9%</f>
        <v>1209.7403999999999</v>
      </c>
      <c r="J44" s="45">
        <f>I44/I$110*100</f>
        <v>12.986804917649019</v>
      </c>
      <c r="K44" s="46"/>
      <c r="L44" s="165">
        <f>I44*(100-L$117)%*(100+L$118)%</f>
        <v>1245.5487158399999</v>
      </c>
      <c r="M44" s="165">
        <f>L44*(100-M$117)%*(100+M$118)%</f>
        <v>1282.4169578288638</v>
      </c>
    </row>
    <row r="45" spans="1:13" x14ac:dyDescent="0.25">
      <c r="A45" s="70"/>
      <c r="B45" s="71" t="s">
        <v>133</v>
      </c>
      <c r="C45" s="69" t="s">
        <v>15</v>
      </c>
      <c r="D45" s="61">
        <v>5</v>
      </c>
      <c r="E45" s="61">
        <v>3</v>
      </c>
      <c r="F45" s="65"/>
      <c r="G45" s="61">
        <v>5</v>
      </c>
      <c r="H45" s="61">
        <v>5</v>
      </c>
      <c r="I45" s="204">
        <f>G45*59.9%</f>
        <v>2.9950000000000001</v>
      </c>
      <c r="J45" s="65"/>
      <c r="K45" s="46"/>
      <c r="L45" s="168">
        <f>I45</f>
        <v>2.9950000000000001</v>
      </c>
      <c r="M45" s="168">
        <f>I45</f>
        <v>2.9950000000000001</v>
      </c>
    </row>
    <row r="46" spans="1:13" x14ac:dyDescent="0.25">
      <c r="A46" s="73"/>
      <c r="B46" s="71" t="s">
        <v>134</v>
      </c>
      <c r="C46" s="69" t="s">
        <v>12</v>
      </c>
      <c r="D46" s="61">
        <v>21410</v>
      </c>
      <c r="E46" s="206">
        <f t="shared" ref="E46" si="58">E44/E45/12*1000</f>
        <v>37383.333333333336</v>
      </c>
      <c r="F46" s="65"/>
      <c r="G46" s="61">
        <v>22460</v>
      </c>
      <c r="H46" s="61">
        <v>23125</v>
      </c>
      <c r="I46" s="206">
        <f t="shared" ref="I46" si="59">I44/I45/12*1000</f>
        <v>33660</v>
      </c>
      <c r="J46" s="65"/>
      <c r="K46" s="46"/>
      <c r="L46" s="165">
        <f>L44/L45/12*1000</f>
        <v>34656.335999999996</v>
      </c>
      <c r="M46" s="165">
        <f>M44/M45/12*1000</f>
        <v>35682.1635456</v>
      </c>
    </row>
    <row r="47" spans="1:13" ht="40.5" customHeight="1" x14ac:dyDescent="0.25">
      <c r="A47" s="58" t="s">
        <v>153</v>
      </c>
      <c r="B47" s="75" t="s">
        <v>208</v>
      </c>
      <c r="C47" s="76" t="s">
        <v>8</v>
      </c>
      <c r="D47" s="61">
        <f>D34*30.3%</f>
        <v>284.142492</v>
      </c>
      <c r="E47" s="61">
        <f>E34*30.3%</f>
        <v>286.79313599999995</v>
      </c>
      <c r="F47" s="45">
        <f>E47/E$110*100</f>
        <v>3.3058945754478812</v>
      </c>
      <c r="G47" s="204">
        <f>(G35+G38+G41+G44)*30.3%</f>
        <v>706.40571599999998</v>
      </c>
      <c r="H47" s="204">
        <f>(H35+H38+H41+H44)*30.3%</f>
        <v>708.49823400000002</v>
      </c>
      <c r="I47" s="204">
        <f>(I35+I38+I41+I44)*30.3%</f>
        <v>654.63707519999991</v>
      </c>
      <c r="J47" s="45">
        <f>I47/I$110*100</f>
        <v>7.0276598082388011</v>
      </c>
      <c r="K47" s="46"/>
      <c r="L47" s="204">
        <f t="shared" ref="L47:M47" si="60">(L35+L38+L41+L44)*30.3%</f>
        <v>674.01433262592002</v>
      </c>
      <c r="M47" s="204">
        <f t="shared" si="60"/>
        <v>693.9651568716472</v>
      </c>
    </row>
    <row r="48" spans="1:13" ht="110.25" x14ac:dyDescent="0.25">
      <c r="A48" s="58" t="s">
        <v>154</v>
      </c>
      <c r="B48" s="77" t="s">
        <v>165</v>
      </c>
      <c r="C48" s="76" t="s">
        <v>8</v>
      </c>
      <c r="D48" s="61"/>
      <c r="E48" s="61"/>
      <c r="F48" s="45">
        <f t="shared" ref="F48:F49" si="61">E48/E$110*100</f>
        <v>0</v>
      </c>
      <c r="G48" s="61"/>
      <c r="H48" s="61"/>
      <c r="I48" s="204">
        <f>G48</f>
        <v>0</v>
      </c>
      <c r="J48" s="45">
        <f t="shared" ref="J48:J49" si="62">I48/I$110*100</f>
        <v>0</v>
      </c>
      <c r="K48" s="46"/>
      <c r="L48" s="165">
        <f>I48*(100-L$117)%*(100+L$118)%</f>
        <v>0</v>
      </c>
      <c r="M48" s="165">
        <f>L48*(100-M$117)%*(100+M$118)%</f>
        <v>0</v>
      </c>
    </row>
    <row r="49" spans="1:13" ht="47.25" x14ac:dyDescent="0.25">
      <c r="A49" s="58" t="s">
        <v>155</v>
      </c>
      <c r="B49" s="77" t="s">
        <v>139</v>
      </c>
      <c r="C49" s="78" t="s">
        <v>22</v>
      </c>
      <c r="D49" s="61">
        <f>D50+D51+D52+D53</f>
        <v>5104.5</v>
      </c>
      <c r="E49" s="61">
        <f>E50+E51+E52+E53</f>
        <v>5104.5</v>
      </c>
      <c r="F49" s="45">
        <f t="shared" si="61"/>
        <v>58.84010717876356</v>
      </c>
      <c r="G49" s="61">
        <f>G50+G51+G52+G53</f>
        <v>5354.6</v>
      </c>
      <c r="H49" s="61">
        <f t="shared" ref="H49" si="63">H50+H51+H52+H53</f>
        <v>5590.6</v>
      </c>
      <c r="I49" s="204">
        <f>H49</f>
        <v>5590.6</v>
      </c>
      <c r="J49" s="45">
        <f t="shared" si="62"/>
        <v>60.016208082832165</v>
      </c>
      <c r="K49" s="46"/>
      <c r="L49" s="169">
        <f>L50+L51+L52+L53</f>
        <v>5756.0817600000009</v>
      </c>
      <c r="M49" s="169">
        <f>M50+M51+M52+M53</f>
        <v>5926.4617800960013</v>
      </c>
    </row>
    <row r="50" spans="1:13" x14ac:dyDescent="0.25">
      <c r="A50" s="58" t="s">
        <v>156</v>
      </c>
      <c r="B50" s="77" t="s">
        <v>102</v>
      </c>
      <c r="C50" s="78" t="s">
        <v>22</v>
      </c>
      <c r="D50" s="61"/>
      <c r="E50" s="61"/>
      <c r="F50" s="65"/>
      <c r="G50" s="61"/>
      <c r="H50" s="61"/>
      <c r="I50" s="204"/>
      <c r="J50" s="65"/>
      <c r="K50" s="46"/>
      <c r="L50" s="165">
        <f>I50*(100-L$117)%*(100+L$118)%</f>
        <v>0</v>
      </c>
      <c r="M50" s="165">
        <f t="shared" ref="M50:M63" si="64">L50*(100-M$117)%*(100+M$118)%</f>
        <v>0</v>
      </c>
    </row>
    <row r="51" spans="1:13" ht="31.5" x14ac:dyDescent="0.25">
      <c r="A51" s="58" t="s">
        <v>162</v>
      </c>
      <c r="B51" s="77" t="s">
        <v>103</v>
      </c>
      <c r="C51" s="78" t="s">
        <v>22</v>
      </c>
      <c r="D51" s="61"/>
      <c r="E51" s="61"/>
      <c r="F51" s="65"/>
      <c r="G51" s="61"/>
      <c r="H51" s="61"/>
      <c r="I51" s="204"/>
      <c r="J51" s="65"/>
      <c r="K51" s="46"/>
      <c r="L51" s="165">
        <f t="shared" ref="L51:L63" si="65">I51*(100-L$117)%*(100+L$118)%</f>
        <v>0</v>
      </c>
      <c r="M51" s="165">
        <f t="shared" si="64"/>
        <v>0</v>
      </c>
    </row>
    <row r="52" spans="1:13" ht="47.25" x14ac:dyDescent="0.25">
      <c r="A52" s="58" t="s">
        <v>163</v>
      </c>
      <c r="B52" s="77" t="s">
        <v>104</v>
      </c>
      <c r="C52" s="78" t="s">
        <v>22</v>
      </c>
      <c r="D52" s="61"/>
      <c r="E52" s="61"/>
      <c r="F52" s="65"/>
      <c r="G52" s="61"/>
      <c r="H52" s="61"/>
      <c r="I52" s="204"/>
      <c r="J52" s="65"/>
      <c r="K52" s="46"/>
      <c r="L52" s="165">
        <f t="shared" si="65"/>
        <v>0</v>
      </c>
      <c r="M52" s="165">
        <f t="shared" si="64"/>
        <v>0</v>
      </c>
    </row>
    <row r="53" spans="1:13" ht="47.25" x14ac:dyDescent="0.25">
      <c r="A53" s="58" t="s">
        <v>164</v>
      </c>
      <c r="B53" s="77" t="s">
        <v>105</v>
      </c>
      <c r="C53" s="78" t="s">
        <v>22</v>
      </c>
      <c r="D53" s="61">
        <v>5104.5</v>
      </c>
      <c r="E53" s="61">
        <v>5104.5</v>
      </c>
      <c r="F53" s="65"/>
      <c r="G53" s="61">
        <v>5354.6</v>
      </c>
      <c r="H53" s="61">
        <v>5590.6</v>
      </c>
      <c r="I53" s="204">
        <f>H53</f>
        <v>5590.6</v>
      </c>
      <c r="J53" s="65"/>
      <c r="K53" s="46"/>
      <c r="L53" s="165">
        <f>I53*(100-L$117)%*(100+L$118)%</f>
        <v>5756.0817600000009</v>
      </c>
      <c r="M53" s="165">
        <f>L53*(100-M$117)%*(100+M$118)%</f>
        <v>5926.4617800960013</v>
      </c>
    </row>
    <row r="54" spans="1:13" ht="31.5" x14ac:dyDescent="0.25">
      <c r="A54" s="58" t="s">
        <v>157</v>
      </c>
      <c r="B54" s="77" t="s">
        <v>106</v>
      </c>
      <c r="C54" s="78" t="s">
        <v>22</v>
      </c>
      <c r="D54" s="61"/>
      <c r="E54" s="61"/>
      <c r="F54" s="45">
        <f t="shared" ref="F54:F60" si="66">E54/E$110*100</f>
        <v>0</v>
      </c>
      <c r="G54" s="61"/>
      <c r="H54" s="61"/>
      <c r="I54" s="204"/>
      <c r="J54" s="45">
        <f t="shared" ref="J54:J60" si="67">I54/I$110*100</f>
        <v>0</v>
      </c>
      <c r="K54" s="46"/>
      <c r="L54" s="165">
        <f t="shared" si="65"/>
        <v>0</v>
      </c>
      <c r="M54" s="165">
        <f t="shared" si="64"/>
        <v>0</v>
      </c>
    </row>
    <row r="55" spans="1:13" x14ac:dyDescent="0.25">
      <c r="A55" s="77" t="s">
        <v>158</v>
      </c>
      <c r="B55" s="77" t="s">
        <v>107</v>
      </c>
      <c r="C55" s="78" t="s">
        <v>22</v>
      </c>
      <c r="D55" s="61"/>
      <c r="E55" s="61"/>
      <c r="F55" s="45">
        <f t="shared" si="66"/>
        <v>0</v>
      </c>
      <c r="G55" s="61"/>
      <c r="H55" s="61"/>
      <c r="I55" s="204"/>
      <c r="J55" s="45">
        <f t="shared" si="67"/>
        <v>0</v>
      </c>
      <c r="K55" s="46"/>
      <c r="L55" s="165">
        <f t="shared" si="65"/>
        <v>0</v>
      </c>
      <c r="M55" s="165">
        <f t="shared" si="64"/>
        <v>0</v>
      </c>
    </row>
    <row r="56" spans="1:13" x14ac:dyDescent="0.25">
      <c r="A56" s="77" t="s">
        <v>159</v>
      </c>
      <c r="B56" s="77" t="s">
        <v>108</v>
      </c>
      <c r="C56" s="78" t="s">
        <v>22</v>
      </c>
      <c r="D56" s="61"/>
      <c r="E56" s="61"/>
      <c r="F56" s="45">
        <f t="shared" si="66"/>
        <v>0</v>
      </c>
      <c r="G56" s="61"/>
      <c r="H56" s="61"/>
      <c r="I56" s="204"/>
      <c r="J56" s="45">
        <f t="shared" si="67"/>
        <v>0</v>
      </c>
      <c r="K56" s="46"/>
      <c r="L56" s="165">
        <f t="shared" si="65"/>
        <v>0</v>
      </c>
      <c r="M56" s="165">
        <f t="shared" si="64"/>
        <v>0</v>
      </c>
    </row>
    <row r="57" spans="1:13" x14ac:dyDescent="0.25">
      <c r="A57" s="77" t="s">
        <v>160</v>
      </c>
      <c r="B57" s="77" t="s">
        <v>109</v>
      </c>
      <c r="C57" s="78" t="s">
        <v>22</v>
      </c>
      <c r="D57" s="61">
        <v>98.7</v>
      </c>
      <c r="E57" s="61">
        <v>98.7</v>
      </c>
      <c r="F57" s="45">
        <f t="shared" si="66"/>
        <v>1.1377252578203474</v>
      </c>
      <c r="G57" s="61">
        <v>98.7</v>
      </c>
      <c r="H57" s="61">
        <v>592.70000000000005</v>
      </c>
      <c r="I57" s="204">
        <f>98.74</f>
        <v>98.74</v>
      </c>
      <c r="J57" s="45">
        <f t="shared" si="67"/>
        <v>1.05999362968176</v>
      </c>
      <c r="K57" s="46"/>
      <c r="L57" s="165">
        <f t="shared" si="65"/>
        <v>101.66270400000001</v>
      </c>
      <c r="M57" s="165">
        <f t="shared" si="64"/>
        <v>104.6719200384</v>
      </c>
    </row>
    <row r="58" spans="1:13" ht="78.75" x14ac:dyDescent="0.25">
      <c r="A58" s="80" t="s">
        <v>161</v>
      </c>
      <c r="B58" s="80" t="s">
        <v>110</v>
      </c>
      <c r="C58" s="81" t="s">
        <v>22</v>
      </c>
      <c r="D58" s="82"/>
      <c r="E58" s="82"/>
      <c r="F58" s="45">
        <f t="shared" si="66"/>
        <v>0</v>
      </c>
      <c r="G58" s="82"/>
      <c r="H58" s="82"/>
      <c r="I58" s="207"/>
      <c r="J58" s="45">
        <f t="shared" si="67"/>
        <v>0</v>
      </c>
      <c r="K58" s="83"/>
      <c r="L58" s="165">
        <f t="shared" si="65"/>
        <v>0</v>
      </c>
      <c r="M58" s="165">
        <f t="shared" si="64"/>
        <v>0</v>
      </c>
    </row>
    <row r="59" spans="1:13" s="51" customFormat="1" ht="47.25" x14ac:dyDescent="0.25">
      <c r="A59" s="77" t="s">
        <v>167</v>
      </c>
      <c r="B59" s="77" t="s">
        <v>111</v>
      </c>
      <c r="C59" s="58" t="s">
        <v>22</v>
      </c>
      <c r="D59" s="61"/>
      <c r="E59" s="61"/>
      <c r="F59" s="45">
        <f t="shared" si="66"/>
        <v>0</v>
      </c>
      <c r="G59" s="61"/>
      <c r="H59" s="61"/>
      <c r="I59" s="204"/>
      <c r="J59" s="45">
        <f t="shared" si="67"/>
        <v>0</v>
      </c>
      <c r="K59" s="46">
        <f t="shared" si="37"/>
        <v>0</v>
      </c>
      <c r="L59" s="165">
        <f t="shared" si="65"/>
        <v>0</v>
      </c>
      <c r="M59" s="165">
        <f t="shared" si="64"/>
        <v>0</v>
      </c>
    </row>
    <row r="60" spans="1:13" s="51" customFormat="1" ht="24" customHeight="1" x14ac:dyDescent="0.25">
      <c r="A60" s="77" t="s">
        <v>168</v>
      </c>
      <c r="B60" s="77" t="s">
        <v>112</v>
      </c>
      <c r="C60" s="84" t="s">
        <v>20</v>
      </c>
      <c r="D60" s="61">
        <f>D61+D62</f>
        <v>0</v>
      </c>
      <c r="E60" s="61">
        <f>E61+E62</f>
        <v>0</v>
      </c>
      <c r="F60" s="45">
        <f t="shared" si="66"/>
        <v>0</v>
      </c>
      <c r="G60" s="61">
        <f>G61+G62</f>
        <v>0</v>
      </c>
      <c r="H60" s="61">
        <f t="shared" ref="H60:I60" si="68">H61+H62</f>
        <v>0</v>
      </c>
      <c r="I60" s="204">
        <f t="shared" si="68"/>
        <v>0</v>
      </c>
      <c r="J60" s="45">
        <f t="shared" si="67"/>
        <v>0</v>
      </c>
      <c r="K60" s="46">
        <f t="shared" si="37"/>
        <v>0</v>
      </c>
      <c r="L60" s="165">
        <f t="shared" si="65"/>
        <v>0</v>
      </c>
      <c r="M60" s="165">
        <f t="shared" si="64"/>
        <v>0</v>
      </c>
    </row>
    <row r="61" spans="1:13" s="51" customFormat="1" ht="31.5" x14ac:dyDescent="0.25">
      <c r="A61" s="85" t="s">
        <v>169</v>
      </c>
      <c r="B61" s="86" t="s">
        <v>113</v>
      </c>
      <c r="C61" s="84" t="s">
        <v>20</v>
      </c>
      <c r="D61" s="72"/>
      <c r="E61" s="72"/>
      <c r="F61" s="45"/>
      <c r="G61" s="72"/>
      <c r="H61" s="72"/>
      <c r="I61" s="204"/>
      <c r="J61" s="45"/>
      <c r="K61" s="46">
        <f t="shared" si="37"/>
        <v>0</v>
      </c>
      <c r="L61" s="165">
        <f t="shared" si="65"/>
        <v>0</v>
      </c>
      <c r="M61" s="165">
        <f t="shared" si="64"/>
        <v>0</v>
      </c>
    </row>
    <row r="62" spans="1:13" s="51" customFormat="1" ht="31.5" x14ac:dyDescent="0.25">
      <c r="A62" s="85" t="s">
        <v>170</v>
      </c>
      <c r="B62" s="86" t="s">
        <v>114</v>
      </c>
      <c r="C62" s="84" t="s">
        <v>20</v>
      </c>
      <c r="D62" s="61"/>
      <c r="E62" s="61"/>
      <c r="F62" s="45"/>
      <c r="G62" s="61"/>
      <c r="H62" s="61"/>
      <c r="I62" s="204"/>
      <c r="J62" s="45"/>
      <c r="K62" s="46">
        <f t="shared" si="37"/>
        <v>0</v>
      </c>
      <c r="L62" s="165">
        <f t="shared" si="65"/>
        <v>0</v>
      </c>
      <c r="M62" s="165">
        <f t="shared" si="64"/>
        <v>0</v>
      </c>
    </row>
    <row r="63" spans="1:13" s="51" customFormat="1" ht="27" customHeight="1" x14ac:dyDescent="0.25">
      <c r="A63" s="58" t="s">
        <v>171</v>
      </c>
      <c r="B63" s="59" t="s">
        <v>166</v>
      </c>
      <c r="C63" s="84" t="s">
        <v>5</v>
      </c>
      <c r="D63" s="61">
        <v>2024.9</v>
      </c>
      <c r="E63" s="61">
        <v>2084.3000000000002</v>
      </c>
      <c r="F63" s="45">
        <f t="shared" ref="F63" si="69">E63/E$110*100</f>
        <v>24.02594483155978</v>
      </c>
      <c r="G63" s="61">
        <f>2129.1-G44-G44*30.3%</f>
        <v>373.17720000000003</v>
      </c>
      <c r="H63" s="61">
        <f>2627.5-H44-H44*30.3%</f>
        <v>819.58750000000009</v>
      </c>
      <c r="I63" s="204">
        <f>(4380.6-2019.6-611.94-900-450-37.892)*59.9%+144+48</f>
        <v>408.33963200000022</v>
      </c>
      <c r="J63" s="45">
        <f t="shared" ref="J63" si="70">I63/I$110*100</f>
        <v>4.3836075416912541</v>
      </c>
      <c r="K63" s="46">
        <f t="shared" si="37"/>
        <v>-411.24786799999987</v>
      </c>
      <c r="L63" s="165">
        <f t="shared" si="65"/>
        <v>420.42648510720022</v>
      </c>
      <c r="M63" s="165">
        <f t="shared" si="64"/>
        <v>432.87110906637332</v>
      </c>
    </row>
    <row r="64" spans="1:13" ht="29.25" customHeight="1" x14ac:dyDescent="0.25">
      <c r="A64" s="87" t="s">
        <v>30</v>
      </c>
      <c r="B64" s="88" t="s">
        <v>33</v>
      </c>
      <c r="C64" s="89" t="s">
        <v>5</v>
      </c>
      <c r="D64" s="90">
        <f>D65+D68+D74+D74+D75+D76+D77+D78</f>
        <v>0</v>
      </c>
      <c r="E64" s="90">
        <f>E65+E68+E74+E74+E75+E76+E77+E78</f>
        <v>0</v>
      </c>
      <c r="F64" s="91">
        <f>E64/E$110*100</f>
        <v>0</v>
      </c>
      <c r="G64" s="90">
        <f>G65+G68+G74+G74+G75+G76+G77+G78</f>
        <v>0</v>
      </c>
      <c r="H64" s="90">
        <f t="shared" ref="H64:K64" si="71">H65+H68+H74+H74+H75+H76+H77+H78</f>
        <v>0</v>
      </c>
      <c r="I64" s="90">
        <f t="shared" si="71"/>
        <v>143.247714</v>
      </c>
      <c r="J64" s="91">
        <f>I64/I$110*100</f>
        <v>1.5377928327574912</v>
      </c>
      <c r="K64" s="90">
        <f t="shared" si="71"/>
        <v>143.247714</v>
      </c>
      <c r="L64" s="170">
        <f>L65+L68+L74+L74+L75+L76+L77+L78</f>
        <v>145.247714</v>
      </c>
      <c r="M64" s="170">
        <f>M65+M68+M74+M74+M75+M76+M77+M78</f>
        <v>148.247714</v>
      </c>
    </row>
    <row r="65" spans="1:13" ht="60" customHeight="1" x14ac:dyDescent="0.25">
      <c r="A65" s="92" t="s">
        <v>84</v>
      </c>
      <c r="B65" s="93" t="s">
        <v>172</v>
      </c>
      <c r="C65" s="94" t="s">
        <v>20</v>
      </c>
      <c r="D65" s="95">
        <f>D66+D67</f>
        <v>0</v>
      </c>
      <c r="E65" s="95">
        <f>E66+E67</f>
        <v>0</v>
      </c>
      <c r="F65" s="65">
        <f>E65/E$110*100</f>
        <v>0</v>
      </c>
      <c r="G65" s="95">
        <f>G66+G67</f>
        <v>0</v>
      </c>
      <c r="H65" s="95">
        <f t="shared" ref="H65:I65" si="72">H66+H67</f>
        <v>0</v>
      </c>
      <c r="I65" s="208">
        <f t="shared" si="72"/>
        <v>0</v>
      </c>
      <c r="J65" s="65">
        <f>I65/I$110*100</f>
        <v>0</v>
      </c>
      <c r="K65" s="46">
        <f t="shared" si="37"/>
        <v>0</v>
      </c>
      <c r="L65" s="171"/>
      <c r="M65" s="171"/>
    </row>
    <row r="66" spans="1:13" ht="25.5" customHeight="1" x14ac:dyDescent="0.25">
      <c r="A66" s="97" t="s">
        <v>173</v>
      </c>
      <c r="B66" s="98" t="s">
        <v>175</v>
      </c>
      <c r="C66" s="96" t="s">
        <v>20</v>
      </c>
      <c r="D66" s="72"/>
      <c r="E66" s="72"/>
      <c r="F66" s="45"/>
      <c r="G66" s="72"/>
      <c r="H66" s="72"/>
      <c r="I66" s="204"/>
      <c r="J66" s="45"/>
      <c r="K66" s="46">
        <f t="shared" si="37"/>
        <v>0</v>
      </c>
      <c r="L66" s="171"/>
      <c r="M66" s="171"/>
    </row>
    <row r="67" spans="1:13" ht="27.75" customHeight="1" x14ac:dyDescent="0.25">
      <c r="A67" s="97" t="s">
        <v>174</v>
      </c>
      <c r="B67" s="98" t="s">
        <v>176</v>
      </c>
      <c r="C67" s="96" t="s">
        <v>20</v>
      </c>
      <c r="D67" s="72"/>
      <c r="E67" s="72"/>
      <c r="F67" s="45"/>
      <c r="G67" s="72"/>
      <c r="H67" s="72"/>
      <c r="I67" s="204"/>
      <c r="J67" s="45"/>
      <c r="K67" s="46">
        <f t="shared" si="37"/>
        <v>0</v>
      </c>
      <c r="L67" s="171"/>
      <c r="M67" s="171"/>
    </row>
    <row r="68" spans="1:13" ht="21" customHeight="1" x14ac:dyDescent="0.25">
      <c r="A68" s="99" t="s">
        <v>85</v>
      </c>
      <c r="B68" s="100" t="s">
        <v>34</v>
      </c>
      <c r="C68" s="94" t="s">
        <v>20</v>
      </c>
      <c r="D68" s="95">
        <f>D69+D70+D71+D72+D73</f>
        <v>0</v>
      </c>
      <c r="E68" s="95">
        <f>E69+E70+E71+E72+E73</f>
        <v>0</v>
      </c>
      <c r="F68" s="45">
        <f t="shared" ref="F68:F78" si="73">E68/E$110*100</f>
        <v>0</v>
      </c>
      <c r="G68" s="95">
        <f>G69+G70+G71+G72+G73</f>
        <v>0</v>
      </c>
      <c r="H68" s="95">
        <f t="shared" ref="H68:I68" si="74">H69+H70+H71+H72+H73</f>
        <v>0</v>
      </c>
      <c r="I68" s="208">
        <f t="shared" si="74"/>
        <v>143.247714</v>
      </c>
      <c r="J68" s="45">
        <f t="shared" ref="J68:J78" si="75">I68/I$110*100</f>
        <v>1.5377928327574912</v>
      </c>
      <c r="K68" s="46">
        <f t="shared" si="37"/>
        <v>143.247714</v>
      </c>
      <c r="L68" s="172">
        <f>L69+L70+L71+L72+L73</f>
        <v>145.247714</v>
      </c>
      <c r="M68" s="172">
        <f>M69+M70+M71+M72+M73</f>
        <v>148.247714</v>
      </c>
    </row>
    <row r="69" spans="1:13" ht="15.75" customHeight="1" x14ac:dyDescent="0.25">
      <c r="A69" s="101" t="s">
        <v>177</v>
      </c>
      <c r="B69" s="98" t="s">
        <v>35</v>
      </c>
      <c r="C69" s="51" t="s">
        <v>20</v>
      </c>
      <c r="D69" s="61"/>
      <c r="E69" s="61"/>
      <c r="F69" s="45">
        <f t="shared" si="73"/>
        <v>0</v>
      </c>
      <c r="G69" s="61"/>
      <c r="H69" s="61"/>
      <c r="I69" s="204">
        <v>93</v>
      </c>
      <c r="J69" s="45">
        <f t="shared" si="75"/>
        <v>0.99837358274664467</v>
      </c>
      <c r="K69" s="46">
        <f t="shared" si="37"/>
        <v>93</v>
      </c>
      <c r="L69" s="168">
        <v>95</v>
      </c>
      <c r="M69" s="168">
        <v>98</v>
      </c>
    </row>
    <row r="70" spans="1:13" ht="31.5" x14ac:dyDescent="0.25">
      <c r="A70" s="101" t="s">
        <v>178</v>
      </c>
      <c r="B70" s="98" t="s">
        <v>36</v>
      </c>
      <c r="C70" s="51" t="s">
        <v>20</v>
      </c>
      <c r="D70" s="61"/>
      <c r="E70" s="61"/>
      <c r="F70" s="45">
        <f t="shared" si="73"/>
        <v>0</v>
      </c>
      <c r="G70" s="61"/>
      <c r="H70" s="61"/>
      <c r="I70" s="204"/>
      <c r="J70" s="45">
        <f t="shared" si="75"/>
        <v>0</v>
      </c>
      <c r="K70" s="46">
        <f t="shared" si="37"/>
        <v>0</v>
      </c>
      <c r="L70" s="168"/>
      <c r="M70" s="168"/>
    </row>
    <row r="71" spans="1:13" ht="31.5" x14ac:dyDescent="0.25">
      <c r="A71" s="101" t="s">
        <v>179</v>
      </c>
      <c r="B71" s="98" t="s">
        <v>37</v>
      </c>
      <c r="C71" s="51" t="s">
        <v>20</v>
      </c>
      <c r="D71" s="61"/>
      <c r="E71" s="61"/>
      <c r="F71" s="45">
        <f t="shared" si="73"/>
        <v>0</v>
      </c>
      <c r="G71" s="61"/>
      <c r="H71" s="61"/>
      <c r="I71" s="204"/>
      <c r="J71" s="45">
        <f t="shared" si="75"/>
        <v>0</v>
      </c>
      <c r="K71" s="46">
        <f t="shared" si="37"/>
        <v>0</v>
      </c>
      <c r="L71" s="168">
        <f>I71</f>
        <v>0</v>
      </c>
      <c r="M71" s="168">
        <f>I71</f>
        <v>0</v>
      </c>
    </row>
    <row r="72" spans="1:13" ht="18.75" customHeight="1" x14ac:dyDescent="0.25">
      <c r="A72" s="101" t="s">
        <v>180</v>
      </c>
      <c r="B72" s="98" t="s">
        <v>38</v>
      </c>
      <c r="C72" s="51" t="s">
        <v>20</v>
      </c>
      <c r="D72" s="61"/>
      <c r="E72" s="61"/>
      <c r="F72" s="45">
        <f t="shared" si="73"/>
        <v>0</v>
      </c>
      <c r="G72" s="61"/>
      <c r="H72" s="61"/>
      <c r="I72" s="204"/>
      <c r="J72" s="45">
        <f t="shared" si="75"/>
        <v>0</v>
      </c>
      <c r="K72" s="46">
        <f t="shared" ref="K72:K103" si="76">I72-H72</f>
        <v>0</v>
      </c>
      <c r="L72" s="173"/>
      <c r="M72" s="173"/>
    </row>
    <row r="73" spans="1:13" ht="26.25" customHeight="1" x14ac:dyDescent="0.25">
      <c r="A73" s="101" t="s">
        <v>181</v>
      </c>
      <c r="B73" s="98" t="s">
        <v>209</v>
      </c>
      <c r="C73" s="51" t="s">
        <v>20</v>
      </c>
      <c r="D73" s="61"/>
      <c r="E73" s="61"/>
      <c r="F73" s="45">
        <f t="shared" si="73"/>
        <v>0</v>
      </c>
      <c r="G73" s="61"/>
      <c r="H73" s="61"/>
      <c r="I73" s="204">
        <f>83.886*59.9%</f>
        <v>50.247713999999995</v>
      </c>
      <c r="J73" s="45">
        <f t="shared" si="75"/>
        <v>0.53941925001084645</v>
      </c>
      <c r="K73" s="46">
        <f t="shared" si="76"/>
        <v>50.247713999999995</v>
      </c>
      <c r="L73" s="168">
        <f>I73</f>
        <v>50.247713999999995</v>
      </c>
      <c r="M73" s="168">
        <f>I73</f>
        <v>50.247713999999995</v>
      </c>
    </row>
    <row r="74" spans="1:13" ht="31.5" x14ac:dyDescent="0.25">
      <c r="A74" s="99" t="s">
        <v>86</v>
      </c>
      <c r="B74" s="102" t="s">
        <v>39</v>
      </c>
      <c r="C74" s="94" t="s">
        <v>20</v>
      </c>
      <c r="D74" s="61"/>
      <c r="E74" s="61"/>
      <c r="F74" s="45">
        <f t="shared" si="73"/>
        <v>0</v>
      </c>
      <c r="G74" s="61"/>
      <c r="H74" s="61"/>
      <c r="I74" s="204"/>
      <c r="J74" s="45">
        <f t="shared" si="75"/>
        <v>0</v>
      </c>
      <c r="K74" s="46">
        <f t="shared" si="76"/>
        <v>0</v>
      </c>
      <c r="L74" s="174">
        <f>I74</f>
        <v>0</v>
      </c>
      <c r="M74" s="174">
        <f>L74</f>
        <v>0</v>
      </c>
    </row>
    <row r="75" spans="1:13" x14ac:dyDescent="0.25">
      <c r="A75" s="99" t="s">
        <v>182</v>
      </c>
      <c r="B75" s="102" t="s">
        <v>115</v>
      </c>
      <c r="C75" s="94" t="s">
        <v>20</v>
      </c>
      <c r="D75" s="95"/>
      <c r="E75" s="95"/>
      <c r="F75" s="45">
        <f t="shared" si="73"/>
        <v>0</v>
      </c>
      <c r="G75" s="95"/>
      <c r="H75" s="95"/>
      <c r="I75" s="208"/>
      <c r="J75" s="45">
        <f t="shared" si="75"/>
        <v>0</v>
      </c>
      <c r="K75" s="46">
        <f t="shared" si="76"/>
        <v>0</v>
      </c>
      <c r="L75" s="171"/>
      <c r="M75" s="171"/>
    </row>
    <row r="76" spans="1:13" ht="49.5" hidden="1" customHeight="1" x14ac:dyDescent="0.25">
      <c r="A76" s="99" t="s">
        <v>185</v>
      </c>
      <c r="B76" s="93" t="s">
        <v>190</v>
      </c>
      <c r="C76" s="94" t="s">
        <v>20</v>
      </c>
      <c r="D76" s="95"/>
      <c r="E76" s="95"/>
      <c r="F76" s="45">
        <f t="shared" si="73"/>
        <v>0</v>
      </c>
      <c r="G76" s="95"/>
      <c r="H76" s="95"/>
      <c r="I76" s="208"/>
      <c r="J76" s="45">
        <f t="shared" si="75"/>
        <v>0</v>
      </c>
      <c r="K76" s="46">
        <f t="shared" si="76"/>
        <v>0</v>
      </c>
      <c r="L76" s="171"/>
      <c r="M76" s="171"/>
    </row>
    <row r="77" spans="1:13" ht="47.25" hidden="1" x14ac:dyDescent="0.25">
      <c r="A77" s="99" t="s">
        <v>186</v>
      </c>
      <c r="B77" s="102" t="s">
        <v>40</v>
      </c>
      <c r="C77" s="94" t="s">
        <v>20</v>
      </c>
      <c r="D77" s="95"/>
      <c r="E77" s="95"/>
      <c r="F77" s="45">
        <f t="shared" si="73"/>
        <v>0</v>
      </c>
      <c r="G77" s="95"/>
      <c r="H77" s="95"/>
      <c r="I77" s="208"/>
      <c r="J77" s="45">
        <f t="shared" si="75"/>
        <v>0</v>
      </c>
      <c r="K77" s="46">
        <f t="shared" si="76"/>
        <v>0</v>
      </c>
      <c r="L77" s="171"/>
      <c r="M77" s="171"/>
    </row>
    <row r="78" spans="1:13" ht="31.5" x14ac:dyDescent="0.25">
      <c r="A78" s="99" t="s">
        <v>187</v>
      </c>
      <c r="B78" s="102" t="s">
        <v>41</v>
      </c>
      <c r="C78" s="94" t="s">
        <v>20</v>
      </c>
      <c r="D78" s="95">
        <f>D79+D80</f>
        <v>0</v>
      </c>
      <c r="E78" s="95">
        <f>E79+E80</f>
        <v>0</v>
      </c>
      <c r="F78" s="45">
        <f t="shared" si="73"/>
        <v>0</v>
      </c>
      <c r="G78" s="95">
        <f>G79+G80</f>
        <v>0</v>
      </c>
      <c r="H78" s="95">
        <f t="shared" ref="H78:I78" si="77">H79+H80</f>
        <v>0</v>
      </c>
      <c r="I78" s="208">
        <f t="shared" si="77"/>
        <v>0</v>
      </c>
      <c r="J78" s="45">
        <f t="shared" si="75"/>
        <v>0</v>
      </c>
      <c r="K78" s="46">
        <f t="shared" si="76"/>
        <v>0</v>
      </c>
      <c r="L78" s="171"/>
      <c r="M78" s="171"/>
    </row>
    <row r="79" spans="1:13" x14ac:dyDescent="0.25">
      <c r="A79" s="99" t="s">
        <v>188</v>
      </c>
      <c r="B79" s="103" t="s">
        <v>183</v>
      </c>
      <c r="C79" s="96"/>
      <c r="D79" s="72"/>
      <c r="E79" s="72"/>
      <c r="F79" s="45"/>
      <c r="G79" s="72"/>
      <c r="H79" s="72"/>
      <c r="I79" s="204"/>
      <c r="J79" s="45"/>
      <c r="K79" s="46">
        <f t="shared" si="76"/>
        <v>0</v>
      </c>
      <c r="L79" s="171"/>
      <c r="M79" s="171"/>
    </row>
    <row r="80" spans="1:13" ht="31.5" x14ac:dyDescent="0.25">
      <c r="A80" s="99" t="s">
        <v>189</v>
      </c>
      <c r="B80" s="98" t="s">
        <v>184</v>
      </c>
      <c r="C80" s="51"/>
      <c r="D80" s="61"/>
      <c r="E80" s="61"/>
      <c r="F80" s="65"/>
      <c r="G80" s="61"/>
      <c r="H80" s="61"/>
      <c r="I80" s="204"/>
      <c r="J80" s="65"/>
      <c r="K80" s="46">
        <f t="shared" si="76"/>
        <v>0</v>
      </c>
      <c r="L80" s="171"/>
      <c r="M80" s="171"/>
    </row>
    <row r="81" spans="1:13" ht="47.25" x14ac:dyDescent="0.25">
      <c r="A81" s="104" t="s">
        <v>32</v>
      </c>
      <c r="B81" s="105" t="s">
        <v>116</v>
      </c>
      <c r="C81" s="106" t="s">
        <v>20</v>
      </c>
      <c r="D81" s="107">
        <f>D82+D89+D92+D95</f>
        <v>0</v>
      </c>
      <c r="E81" s="107">
        <f>E82+E89+E92+E95</f>
        <v>0</v>
      </c>
      <c r="F81" s="91">
        <f>E81/E$110*100</f>
        <v>0</v>
      </c>
      <c r="G81" s="107">
        <f>G82+G89+G92+G95</f>
        <v>0</v>
      </c>
      <c r="H81" s="107">
        <f t="shared" ref="H81:I81" si="78">H82+H89+H92+H95</f>
        <v>0</v>
      </c>
      <c r="I81" s="107">
        <f t="shared" si="78"/>
        <v>0</v>
      </c>
      <c r="J81" s="91">
        <f>I81/I$110*100</f>
        <v>0</v>
      </c>
      <c r="K81" s="108"/>
      <c r="L81" s="175">
        <f>L82+L89+L92+L95+L98</f>
        <v>0</v>
      </c>
      <c r="M81" s="175">
        <f>M82+M89+M92+M95+M98</f>
        <v>0</v>
      </c>
    </row>
    <row r="82" spans="1:13" ht="31.5" x14ac:dyDescent="0.25">
      <c r="A82" s="109" t="s">
        <v>28</v>
      </c>
      <c r="B82" s="110" t="s">
        <v>31</v>
      </c>
      <c r="C82" s="111" t="s">
        <v>22</v>
      </c>
      <c r="D82" s="112">
        <f>D83+D86</f>
        <v>0</v>
      </c>
      <c r="E82" s="112">
        <f>E83+E86</f>
        <v>0</v>
      </c>
      <c r="F82" s="45">
        <f>E82/E$110*100</f>
        <v>0</v>
      </c>
      <c r="G82" s="112">
        <f>G83+G86</f>
        <v>0</v>
      </c>
      <c r="H82" s="112">
        <f t="shared" ref="H82:I82" si="79">H83+H86</f>
        <v>0</v>
      </c>
      <c r="I82" s="209">
        <f t="shared" si="79"/>
        <v>0</v>
      </c>
      <c r="J82" s="45">
        <f>I82/I$110*100</f>
        <v>0</v>
      </c>
      <c r="K82" s="112">
        <f t="shared" ref="K82" si="80">K83+K86+K95</f>
        <v>0</v>
      </c>
      <c r="L82" s="176">
        <f>L83+L86+L95</f>
        <v>0</v>
      </c>
      <c r="M82" s="171"/>
    </row>
    <row r="83" spans="1:13" hidden="1" x14ac:dyDescent="0.25">
      <c r="A83" s="113"/>
      <c r="B83" s="114" t="s">
        <v>7</v>
      </c>
      <c r="C83" s="115" t="s">
        <v>8</v>
      </c>
      <c r="D83" s="116">
        <f t="shared" ref="D83" si="81">D84*D85</f>
        <v>0</v>
      </c>
      <c r="E83" s="116">
        <f t="shared" ref="E83" si="82">E84*E85</f>
        <v>0</v>
      </c>
      <c r="F83" s="65"/>
      <c r="G83" s="116">
        <f t="shared" ref="G83:I83" si="83">G84*G85</f>
        <v>0</v>
      </c>
      <c r="H83" s="116">
        <f t="shared" si="83"/>
        <v>0</v>
      </c>
      <c r="I83" s="210">
        <f t="shared" si="83"/>
        <v>0</v>
      </c>
      <c r="J83" s="65"/>
      <c r="K83" s="46">
        <f t="shared" ref="K83:K88" si="84">I83-H83</f>
        <v>0</v>
      </c>
      <c r="L83" s="174"/>
      <c r="M83" s="171"/>
    </row>
    <row r="84" spans="1:13" hidden="1" x14ac:dyDescent="0.25">
      <c r="A84" s="113"/>
      <c r="B84" s="117" t="s">
        <v>9</v>
      </c>
      <c r="C84" s="115" t="s">
        <v>10</v>
      </c>
      <c r="D84" s="61"/>
      <c r="E84" s="61"/>
      <c r="F84" s="65"/>
      <c r="G84" s="61"/>
      <c r="H84" s="61"/>
      <c r="I84" s="204"/>
      <c r="J84" s="65"/>
      <c r="K84" s="46">
        <f t="shared" si="84"/>
        <v>0</v>
      </c>
      <c r="L84" s="174">
        <f>I84</f>
        <v>0</v>
      </c>
      <c r="M84" s="168">
        <f>I84</f>
        <v>0</v>
      </c>
    </row>
    <row r="85" spans="1:13" hidden="1" x14ac:dyDescent="0.25">
      <c r="A85" s="113"/>
      <c r="B85" s="117" t="s">
        <v>11</v>
      </c>
      <c r="C85" s="115" t="s">
        <v>12</v>
      </c>
      <c r="D85" s="61"/>
      <c r="E85" s="61"/>
      <c r="F85" s="65"/>
      <c r="G85" s="61"/>
      <c r="H85" s="61"/>
      <c r="I85" s="204"/>
      <c r="J85" s="65"/>
      <c r="K85" s="46">
        <f t="shared" si="84"/>
        <v>0</v>
      </c>
      <c r="L85" s="165">
        <f>I85*L$120%</f>
        <v>0</v>
      </c>
      <c r="M85" s="165">
        <f>I85*M$120%</f>
        <v>0</v>
      </c>
    </row>
    <row r="86" spans="1:13" hidden="1" x14ac:dyDescent="0.25">
      <c r="A86" s="113"/>
      <c r="B86" s="118" t="s">
        <v>13</v>
      </c>
      <c r="C86" s="115" t="s">
        <v>8</v>
      </c>
      <c r="D86" s="116">
        <f t="shared" ref="D86" si="85">D87*D88</f>
        <v>0</v>
      </c>
      <c r="E86" s="116">
        <f t="shared" ref="E86" si="86">E87*E88</f>
        <v>0</v>
      </c>
      <c r="F86" s="65">
        <f>E86/E$110*100</f>
        <v>0</v>
      </c>
      <c r="G86" s="116">
        <f t="shared" ref="G86:I86" si="87">G87*G88</f>
        <v>0</v>
      </c>
      <c r="H86" s="116">
        <f t="shared" si="87"/>
        <v>0</v>
      </c>
      <c r="I86" s="210">
        <f t="shared" si="87"/>
        <v>0</v>
      </c>
      <c r="J86" s="65">
        <f>I86/I$110*100</f>
        <v>0</v>
      </c>
      <c r="K86" s="46">
        <f t="shared" si="84"/>
        <v>0</v>
      </c>
      <c r="L86" s="177">
        <f>L87*L88</f>
        <v>0</v>
      </c>
      <c r="M86" s="177">
        <f>M87*M88</f>
        <v>0</v>
      </c>
    </row>
    <row r="87" spans="1:13" hidden="1" x14ac:dyDescent="0.25">
      <c r="A87" s="113"/>
      <c r="B87" s="117" t="s">
        <v>14</v>
      </c>
      <c r="C87" s="115" t="s">
        <v>10</v>
      </c>
      <c r="D87" s="61"/>
      <c r="E87" s="61"/>
      <c r="F87" s="119"/>
      <c r="G87" s="61"/>
      <c r="H87" s="61"/>
      <c r="I87" s="204"/>
      <c r="J87" s="119"/>
      <c r="K87" s="46">
        <f t="shared" si="84"/>
        <v>0</v>
      </c>
      <c r="L87" s="174">
        <f>I87</f>
        <v>0</v>
      </c>
      <c r="M87" s="168">
        <f>I87</f>
        <v>0</v>
      </c>
    </row>
    <row r="88" spans="1:13" hidden="1" x14ac:dyDescent="0.25">
      <c r="A88" s="113"/>
      <c r="B88" s="117" t="s">
        <v>11</v>
      </c>
      <c r="C88" s="115" t="s">
        <v>12</v>
      </c>
      <c r="D88" s="61"/>
      <c r="E88" s="72"/>
      <c r="F88" s="120"/>
      <c r="G88" s="72"/>
      <c r="H88" s="72"/>
      <c r="I88" s="204"/>
      <c r="J88" s="120"/>
      <c r="K88" s="46">
        <f t="shared" si="84"/>
        <v>0</v>
      </c>
      <c r="L88" s="165">
        <f>I88*L$120%</f>
        <v>0</v>
      </c>
      <c r="M88" s="165">
        <f>I88*M$120%</f>
        <v>0</v>
      </c>
    </row>
    <row r="89" spans="1:13" ht="16.5" thickBot="1" x14ac:dyDescent="0.3">
      <c r="A89" s="109" t="s">
        <v>29</v>
      </c>
      <c r="B89" s="110" t="s">
        <v>120</v>
      </c>
      <c r="C89" s="69" t="s">
        <v>8</v>
      </c>
      <c r="D89" s="116">
        <f t="shared" ref="D89" si="88">D90*D91</f>
        <v>0</v>
      </c>
      <c r="E89" s="116">
        <f t="shared" ref="E89" si="89">E90*E91</f>
        <v>0</v>
      </c>
      <c r="F89" s="121">
        <f>E89/E$110*100</f>
        <v>0</v>
      </c>
      <c r="G89" s="116">
        <f t="shared" ref="G89:I89" si="90">G90*G91</f>
        <v>0</v>
      </c>
      <c r="H89" s="116">
        <f t="shared" si="90"/>
        <v>0</v>
      </c>
      <c r="I89" s="210">
        <f t="shared" si="90"/>
        <v>0</v>
      </c>
      <c r="J89" s="121">
        <f>I89/I$110*100</f>
        <v>0</v>
      </c>
      <c r="K89" s="83"/>
      <c r="L89" s="177">
        <f>L90*L91</f>
        <v>0</v>
      </c>
      <c r="M89" s="177">
        <f>M90*M91</f>
        <v>0</v>
      </c>
    </row>
    <row r="90" spans="1:13" hidden="1" x14ac:dyDescent="0.25">
      <c r="A90" s="122"/>
      <c r="B90" s="71" t="s">
        <v>117</v>
      </c>
      <c r="C90" s="69" t="s">
        <v>123</v>
      </c>
      <c r="D90" s="82"/>
      <c r="E90" s="123"/>
      <c r="F90" s="120"/>
      <c r="G90" s="123"/>
      <c r="H90" s="123"/>
      <c r="I90" s="207"/>
      <c r="J90" s="120"/>
      <c r="K90" s="83"/>
      <c r="L90" s="174">
        <f>I90</f>
        <v>0</v>
      </c>
      <c r="M90" s="168">
        <f>I90</f>
        <v>0</v>
      </c>
    </row>
    <row r="91" spans="1:13" ht="16.5" hidden="1" thickBot="1" x14ac:dyDescent="0.3">
      <c r="A91" s="122"/>
      <c r="B91" s="71" t="s">
        <v>119</v>
      </c>
      <c r="C91" s="69" t="s">
        <v>12</v>
      </c>
      <c r="D91" s="82"/>
      <c r="E91" s="123"/>
      <c r="F91" s="120"/>
      <c r="G91" s="123"/>
      <c r="H91" s="123"/>
      <c r="I91" s="207"/>
      <c r="J91" s="120"/>
      <c r="K91" s="83"/>
      <c r="L91" s="165">
        <f>I91*L$118%</f>
        <v>0</v>
      </c>
      <c r="M91" s="165">
        <f>I91*M$118%</f>
        <v>0</v>
      </c>
    </row>
    <row r="92" spans="1:13" ht="32.25" thickBot="1" x14ac:dyDescent="0.3">
      <c r="A92" s="109" t="s">
        <v>29</v>
      </c>
      <c r="B92" s="124" t="s">
        <v>121</v>
      </c>
      <c r="C92" s="69" t="s">
        <v>8</v>
      </c>
      <c r="D92" s="116">
        <f>D93*D94/1000</f>
        <v>0</v>
      </c>
      <c r="E92" s="116">
        <f>E93*E94/1000</f>
        <v>0</v>
      </c>
      <c r="F92" s="121">
        <f>E92/E$110*100</f>
        <v>0</v>
      </c>
      <c r="G92" s="116">
        <f>G93*G94/1000</f>
        <v>0</v>
      </c>
      <c r="H92" s="116">
        <f t="shared" ref="H92:I92" si="91">H93*H94/1000</f>
        <v>0</v>
      </c>
      <c r="I92" s="210">
        <f t="shared" si="91"/>
        <v>0</v>
      </c>
      <c r="J92" s="121">
        <f>I92/I$110*100</f>
        <v>0</v>
      </c>
      <c r="K92" s="83"/>
      <c r="L92" s="177">
        <f>L93*L94</f>
        <v>0</v>
      </c>
      <c r="M92" s="177">
        <f>M93*M94</f>
        <v>0</v>
      </c>
    </row>
    <row r="93" spans="1:13" hidden="1" x14ac:dyDescent="0.25">
      <c r="A93" s="122"/>
      <c r="B93" s="71" t="s">
        <v>117</v>
      </c>
      <c r="C93" s="69" t="s">
        <v>118</v>
      </c>
      <c r="D93" s="82"/>
      <c r="E93" s="123"/>
      <c r="F93" s="120"/>
      <c r="G93" s="123"/>
      <c r="H93" s="123"/>
      <c r="I93" s="207"/>
      <c r="J93" s="120"/>
      <c r="K93" s="83"/>
      <c r="L93" s="174">
        <f>I93</f>
        <v>0</v>
      </c>
      <c r="M93" s="168">
        <f>I93</f>
        <v>0</v>
      </c>
    </row>
    <row r="94" spans="1:13" ht="16.5" hidden="1" thickBot="1" x14ac:dyDescent="0.3">
      <c r="A94" s="122"/>
      <c r="B94" s="71" t="s">
        <v>119</v>
      </c>
      <c r="C94" s="69" t="s">
        <v>12</v>
      </c>
      <c r="D94" s="82"/>
      <c r="E94" s="123"/>
      <c r="F94" s="45"/>
      <c r="G94" s="123"/>
      <c r="H94" s="123"/>
      <c r="I94" s="207"/>
      <c r="J94" s="45"/>
      <c r="K94" s="83"/>
      <c r="L94" s="165">
        <f>I94*L$118%</f>
        <v>0</v>
      </c>
      <c r="M94" s="165">
        <f>I94*M$118%</f>
        <v>0</v>
      </c>
    </row>
    <row r="95" spans="1:13" ht="16.5" thickBot="1" x14ac:dyDescent="0.3">
      <c r="A95" s="109" t="s">
        <v>29</v>
      </c>
      <c r="B95" s="124" t="s">
        <v>122</v>
      </c>
      <c r="C95" s="69" t="s">
        <v>8</v>
      </c>
      <c r="D95" s="116">
        <f t="shared" ref="D95" si="92">D96*D97</f>
        <v>0</v>
      </c>
      <c r="E95" s="116">
        <f t="shared" ref="E95" si="93">E96*E97</f>
        <v>0</v>
      </c>
      <c r="F95" s="121">
        <f>E95/E$110*100</f>
        <v>0</v>
      </c>
      <c r="G95" s="116">
        <f t="shared" ref="G95:I95" si="94">G96*G97</f>
        <v>0</v>
      </c>
      <c r="H95" s="116">
        <f t="shared" si="94"/>
        <v>0</v>
      </c>
      <c r="I95" s="210">
        <f t="shared" si="94"/>
        <v>0</v>
      </c>
      <c r="J95" s="121">
        <f>I95/I$110*100</f>
        <v>0</v>
      </c>
      <c r="K95" s="83"/>
      <c r="L95" s="177">
        <f>L96*L97</f>
        <v>0</v>
      </c>
      <c r="M95" s="177">
        <f>M96*M97</f>
        <v>0</v>
      </c>
    </row>
    <row r="96" spans="1:13" hidden="1" x14ac:dyDescent="0.25">
      <c r="A96" s="122"/>
      <c r="B96" s="71" t="s">
        <v>117</v>
      </c>
      <c r="C96" s="69" t="s">
        <v>118</v>
      </c>
      <c r="D96" s="82"/>
      <c r="E96" s="123"/>
      <c r="F96" s="45"/>
      <c r="G96" s="123"/>
      <c r="H96" s="123"/>
      <c r="I96" s="207"/>
      <c r="J96" s="45"/>
      <c r="K96" s="83"/>
      <c r="L96" s="174">
        <f>I96</f>
        <v>0</v>
      </c>
      <c r="M96" s="168">
        <f>I96</f>
        <v>0</v>
      </c>
    </row>
    <row r="97" spans="1:13" hidden="1" x14ac:dyDescent="0.25">
      <c r="A97" s="122"/>
      <c r="B97" s="71" t="s">
        <v>119</v>
      </c>
      <c r="C97" s="69" t="s">
        <v>12</v>
      </c>
      <c r="D97" s="82"/>
      <c r="E97" s="123"/>
      <c r="F97" s="45"/>
      <c r="G97" s="123"/>
      <c r="H97" s="123"/>
      <c r="I97" s="207"/>
      <c r="J97" s="45"/>
      <c r="K97" s="83"/>
      <c r="L97" s="165">
        <f>I97*L$118%</f>
        <v>0</v>
      </c>
      <c r="M97" s="165">
        <f>I97*M$118%</f>
        <v>0</v>
      </c>
    </row>
    <row r="98" spans="1:13" ht="31.5" x14ac:dyDescent="0.25">
      <c r="A98" s="109" t="s">
        <v>29</v>
      </c>
      <c r="B98" s="125" t="s">
        <v>124</v>
      </c>
      <c r="C98" s="69" t="s">
        <v>8</v>
      </c>
      <c r="D98" s="82"/>
      <c r="E98" s="123"/>
      <c r="F98" s="121">
        <f>E98/E$110*100</f>
        <v>0</v>
      </c>
      <c r="G98" s="123"/>
      <c r="H98" s="123"/>
      <c r="I98" s="207"/>
      <c r="J98" s="121">
        <f>I98/I$110*100</f>
        <v>0</v>
      </c>
      <c r="K98" s="83"/>
      <c r="L98" s="165">
        <f>I98*(100+L$120)%</f>
        <v>0</v>
      </c>
      <c r="M98" s="165">
        <f>L98*(100+M$120)%</f>
        <v>0</v>
      </c>
    </row>
    <row r="99" spans="1:13" ht="37.5" customHeight="1" x14ac:dyDescent="0.25">
      <c r="A99" s="126" t="s">
        <v>192</v>
      </c>
      <c r="B99" s="127" t="s">
        <v>191</v>
      </c>
      <c r="C99" s="128" t="s">
        <v>8</v>
      </c>
      <c r="D99" s="129"/>
      <c r="E99" s="129"/>
      <c r="F99" s="130">
        <f t="shared" ref="F99:F101" si="95">E99/E$110*100</f>
        <v>0</v>
      </c>
      <c r="G99" s="129"/>
      <c r="H99" s="129"/>
      <c r="I99" s="129"/>
      <c r="J99" s="130">
        <f t="shared" ref="J99:J101" si="96">I99/I$110*100</f>
        <v>0</v>
      </c>
      <c r="K99" s="131"/>
      <c r="L99" s="178">
        <f>I99</f>
        <v>0</v>
      </c>
      <c r="M99" s="178">
        <f>I99</f>
        <v>0</v>
      </c>
    </row>
    <row r="100" spans="1:13" s="7" customFormat="1" x14ac:dyDescent="0.25">
      <c r="A100" s="133" t="s">
        <v>193</v>
      </c>
      <c r="B100" s="134" t="s">
        <v>130</v>
      </c>
      <c r="C100" s="128" t="s">
        <v>8</v>
      </c>
      <c r="D100" s="135">
        <f>D101+D105</f>
        <v>154.4</v>
      </c>
      <c r="E100" s="135">
        <f>E101+E105</f>
        <v>154.4</v>
      </c>
      <c r="F100" s="130">
        <f t="shared" si="95"/>
        <v>1.7797850031151128</v>
      </c>
      <c r="G100" s="135">
        <f>G101+G105</f>
        <v>162</v>
      </c>
      <c r="H100" s="135">
        <f t="shared" ref="H100:I100" si="97">H101+H105</f>
        <v>497.4</v>
      </c>
      <c r="I100" s="135">
        <f t="shared" si="97"/>
        <v>259.0675</v>
      </c>
      <c r="J100" s="130">
        <f t="shared" si="96"/>
        <v>2.7811413779378102</v>
      </c>
      <c r="K100" s="46">
        <f t="shared" si="76"/>
        <v>-238.33249999999998</v>
      </c>
      <c r="L100" s="135">
        <v>266.69</v>
      </c>
      <c r="M100" s="135">
        <v>274.54000000000002</v>
      </c>
    </row>
    <row r="101" spans="1:13" ht="18" customHeight="1" x14ac:dyDescent="0.25">
      <c r="A101" s="136" t="s">
        <v>43</v>
      </c>
      <c r="B101" s="102" t="s">
        <v>42</v>
      </c>
      <c r="C101" s="94" t="s">
        <v>20</v>
      </c>
      <c r="D101" s="95">
        <f>+D102+D103</f>
        <v>154.4</v>
      </c>
      <c r="E101" s="95">
        <f>+E102+E103</f>
        <v>154.4</v>
      </c>
      <c r="F101" s="121">
        <f t="shared" si="95"/>
        <v>1.7797850031151128</v>
      </c>
      <c r="G101" s="95">
        <f>+G102+G103</f>
        <v>162</v>
      </c>
      <c r="H101" s="95">
        <f t="shared" ref="H101:I101" si="98">+H102+H103</f>
        <v>497.4</v>
      </c>
      <c r="I101" s="208">
        <f t="shared" si="98"/>
        <v>259.0675</v>
      </c>
      <c r="J101" s="121">
        <f t="shared" si="96"/>
        <v>2.7811413779378102</v>
      </c>
      <c r="K101" s="46">
        <f t="shared" si="76"/>
        <v>-238.33249999999998</v>
      </c>
      <c r="L101" s="172">
        <f>L102+L103</f>
        <v>266.6929083861329</v>
      </c>
      <c r="M101" s="172">
        <f>M102+M103</f>
        <v>274.54402886049536</v>
      </c>
    </row>
    <row r="102" spans="1:13" ht="15.75" customHeight="1" x14ac:dyDescent="0.25">
      <c r="A102" s="136" t="s">
        <v>194</v>
      </c>
      <c r="B102" s="59" t="s">
        <v>44</v>
      </c>
      <c r="C102" s="51" t="s">
        <v>20</v>
      </c>
      <c r="D102" s="72"/>
      <c r="E102" s="72"/>
      <c r="F102" s="45"/>
      <c r="G102" s="72"/>
      <c r="H102" s="72"/>
      <c r="I102" s="204"/>
      <c r="J102" s="45"/>
      <c r="K102" s="46">
        <f t="shared" si="76"/>
        <v>0</v>
      </c>
      <c r="L102" s="171"/>
      <c r="M102" s="171"/>
    </row>
    <row r="103" spans="1:13" ht="54.75" customHeight="1" x14ac:dyDescent="0.25">
      <c r="A103" s="136" t="s">
        <v>195</v>
      </c>
      <c r="B103" s="59" t="s">
        <v>46</v>
      </c>
      <c r="C103" s="51" t="s">
        <v>20</v>
      </c>
      <c r="D103" s="72">
        <v>154.4</v>
      </c>
      <c r="E103" s="72">
        <v>154.4</v>
      </c>
      <c r="F103" s="45"/>
      <c r="G103" s="72">
        <v>162</v>
      </c>
      <c r="H103" s="72">
        <v>497.4</v>
      </c>
      <c r="I103" s="204">
        <f>432.5*59.9%</f>
        <v>259.0675</v>
      </c>
      <c r="J103" s="45"/>
      <c r="K103" s="46">
        <f t="shared" si="76"/>
        <v>-238.33249999999998</v>
      </c>
      <c r="L103" s="168">
        <f>L111*L104%</f>
        <v>266.6929083861329</v>
      </c>
      <c r="M103" s="168">
        <f>M111*M104%</f>
        <v>274.54402886049536</v>
      </c>
    </row>
    <row r="104" spans="1:13" ht="23.25" customHeight="1" thickBot="1" x14ac:dyDescent="0.3">
      <c r="A104" s="136" t="s">
        <v>45</v>
      </c>
      <c r="B104" s="137" t="s">
        <v>48</v>
      </c>
      <c r="C104" s="8" t="s">
        <v>6</v>
      </c>
      <c r="D104" s="72"/>
      <c r="E104" s="72"/>
      <c r="F104" s="45"/>
      <c r="G104" s="72"/>
      <c r="H104" s="45">
        <f>H100/H111*100</f>
        <v>4.9494193354668905</v>
      </c>
      <c r="I104" s="45">
        <f>I100/I111*100</f>
        <v>2.8903838686756149</v>
      </c>
      <c r="J104" s="45"/>
      <c r="K104" s="46"/>
      <c r="L104" s="215">
        <f>I104</f>
        <v>2.8903838686756149</v>
      </c>
      <c r="M104" s="215">
        <f>I104</f>
        <v>2.8903838686756149</v>
      </c>
    </row>
    <row r="105" spans="1:13" ht="30" customHeight="1" thickBot="1" x14ac:dyDescent="0.3">
      <c r="A105" s="136" t="s">
        <v>47</v>
      </c>
      <c r="B105" s="124" t="s">
        <v>125</v>
      </c>
      <c r="C105" s="94" t="s">
        <v>20</v>
      </c>
      <c r="D105" s="95"/>
      <c r="E105" s="95"/>
      <c r="F105" s="121">
        <f>E105/E$110*100</f>
        <v>0</v>
      </c>
      <c r="G105" s="95"/>
      <c r="H105" s="95"/>
      <c r="I105" s="208"/>
      <c r="J105" s="121">
        <f>I105/I$110*100</f>
        <v>0</v>
      </c>
      <c r="K105" s="95"/>
      <c r="L105" s="172"/>
      <c r="M105" s="172"/>
    </row>
    <row r="106" spans="1:13" ht="47.25" hidden="1" customHeight="1" x14ac:dyDescent="0.25">
      <c r="A106" s="138" t="s">
        <v>196</v>
      </c>
      <c r="B106" s="139" t="s">
        <v>126</v>
      </c>
      <c r="C106" s="128" t="s">
        <v>8</v>
      </c>
      <c r="D106" s="132"/>
      <c r="E106" s="132"/>
      <c r="F106" s="130">
        <f t="shared" ref="F106:F109" si="99">E106/E$110*100</f>
        <v>0</v>
      </c>
      <c r="G106" s="132"/>
      <c r="H106" s="132"/>
      <c r="I106" s="132"/>
      <c r="J106" s="130">
        <f t="shared" ref="J106:J109" si="100">I106/I$110*100</f>
        <v>0</v>
      </c>
      <c r="K106" s="132"/>
      <c r="L106" s="179"/>
      <c r="M106" s="179"/>
    </row>
    <row r="107" spans="1:13" ht="55.5" hidden="1" customHeight="1" x14ac:dyDescent="0.25">
      <c r="A107" s="138" t="s">
        <v>138</v>
      </c>
      <c r="B107" s="140" t="s">
        <v>127</v>
      </c>
      <c r="C107" s="128" t="s">
        <v>8</v>
      </c>
      <c r="D107" s="132"/>
      <c r="E107" s="132"/>
      <c r="F107" s="130">
        <f t="shared" si="99"/>
        <v>0</v>
      </c>
      <c r="G107" s="132"/>
      <c r="H107" s="132"/>
      <c r="I107" s="132"/>
      <c r="J107" s="130">
        <f t="shared" si="100"/>
        <v>0</v>
      </c>
      <c r="K107" s="132"/>
      <c r="L107" s="179" t="s">
        <v>49</v>
      </c>
      <c r="M107" s="179"/>
    </row>
    <row r="108" spans="1:13" ht="42" hidden="1" customHeight="1" x14ac:dyDescent="0.25">
      <c r="A108" s="138" t="s">
        <v>140</v>
      </c>
      <c r="B108" s="140" t="s">
        <v>128</v>
      </c>
      <c r="C108" s="128" t="s">
        <v>8</v>
      </c>
      <c r="D108" s="132"/>
      <c r="E108" s="132"/>
      <c r="F108" s="130">
        <f t="shared" si="99"/>
        <v>0</v>
      </c>
      <c r="G108" s="132"/>
      <c r="H108" s="132"/>
      <c r="I108" s="132"/>
      <c r="J108" s="130">
        <f t="shared" si="100"/>
        <v>0</v>
      </c>
      <c r="K108" s="132"/>
      <c r="L108" s="179"/>
      <c r="M108" s="179"/>
    </row>
    <row r="109" spans="1:13" ht="42" hidden="1" customHeight="1" x14ac:dyDescent="0.25">
      <c r="A109" s="138" t="s">
        <v>141</v>
      </c>
      <c r="B109" s="139" t="s">
        <v>129</v>
      </c>
      <c r="C109" s="128" t="s">
        <v>8</v>
      </c>
      <c r="D109" s="132"/>
      <c r="E109" s="132"/>
      <c r="F109" s="130">
        <f t="shared" si="99"/>
        <v>0</v>
      </c>
      <c r="G109" s="132"/>
      <c r="H109" s="132"/>
      <c r="I109" s="132"/>
      <c r="J109" s="130">
        <f t="shared" si="100"/>
        <v>0</v>
      </c>
      <c r="K109" s="132"/>
      <c r="L109" s="179"/>
      <c r="M109" s="179"/>
    </row>
    <row r="110" spans="1:13" ht="17.25" customHeight="1" x14ac:dyDescent="0.25">
      <c r="A110" s="141">
        <v>8</v>
      </c>
      <c r="B110" s="142" t="s">
        <v>50</v>
      </c>
      <c r="C110" s="143" t="s">
        <v>20</v>
      </c>
      <c r="D110" s="144">
        <f>D28+D99+D100</f>
        <v>8604.4064920000001</v>
      </c>
      <c r="E110" s="144">
        <f>E28+E99+E100</f>
        <v>8675.2051359999987</v>
      </c>
      <c r="F110" s="144">
        <f>F28+F99+F100</f>
        <v>96.694105424552134</v>
      </c>
      <c r="G110" s="144">
        <f>G28+G99+G100</f>
        <v>9026.2549159999999</v>
      </c>
      <c r="H110" s="144">
        <f t="shared" ref="H110:I110" si="101">H28+H99+H100</f>
        <v>10547.063734000001</v>
      </c>
      <c r="I110" s="144">
        <f t="shared" si="101"/>
        <v>9315.1503211999989</v>
      </c>
      <c r="J110" s="144">
        <f>J28+J99+J100</f>
        <v>100</v>
      </c>
      <c r="K110" s="144">
        <f t="shared" ref="K110:M110" si="102">K28+K99+K100</f>
        <v>-737.95341280000059</v>
      </c>
      <c r="L110" s="180">
        <f t="shared" si="102"/>
        <v>9588.5927403731203</v>
      </c>
      <c r="M110" s="180">
        <f t="shared" si="102"/>
        <v>9871.0717291537658</v>
      </c>
    </row>
    <row r="111" spans="1:13" ht="17.25" customHeight="1" x14ac:dyDescent="0.25">
      <c r="A111" s="145">
        <v>9</v>
      </c>
      <c r="B111" s="146" t="s">
        <v>17</v>
      </c>
      <c r="C111" s="84" t="s">
        <v>16</v>
      </c>
      <c r="D111" s="147">
        <f>D110-D100-D69</f>
        <v>8450.0064920000004</v>
      </c>
      <c r="E111" s="147">
        <f>E110-E100-E69</f>
        <v>8520.805135999999</v>
      </c>
      <c r="F111" s="147">
        <f>F110-F100-F69</f>
        <v>94.914320421437026</v>
      </c>
      <c r="G111" s="147">
        <f>G110-G100-G69</f>
        <v>8864.2549159999999</v>
      </c>
      <c r="H111" s="147">
        <f t="shared" ref="H111:M111" si="103">H110-H100-H69</f>
        <v>10049.663734000002</v>
      </c>
      <c r="I111" s="208">
        <f t="shared" si="103"/>
        <v>8963.0828211999997</v>
      </c>
      <c r="J111" s="147">
        <f>J110-J100-J69</f>
        <v>96.220485039315548</v>
      </c>
      <c r="K111" s="147">
        <f t="shared" si="103"/>
        <v>-592.62091280000061</v>
      </c>
      <c r="L111" s="181">
        <f t="shared" si="103"/>
        <v>9226.9027403731197</v>
      </c>
      <c r="M111" s="181">
        <f t="shared" si="103"/>
        <v>9498.5317291537649</v>
      </c>
    </row>
    <row r="112" spans="1:13" x14ac:dyDescent="0.25">
      <c r="A112" s="9">
        <v>10</v>
      </c>
      <c r="B112" s="148" t="s">
        <v>51</v>
      </c>
      <c r="C112" s="84" t="s">
        <v>52</v>
      </c>
      <c r="D112" s="61">
        <f>D111/D11</f>
        <v>235.1796964096855</v>
      </c>
      <c r="E112" s="61">
        <f>E111/E11</f>
        <v>237.15015686056219</v>
      </c>
      <c r="F112" s="61">
        <f>F111/F11</f>
        <v>0.94914320421437026</v>
      </c>
      <c r="G112" s="61">
        <f>G111/G11</f>
        <v>246.70901519621486</v>
      </c>
      <c r="H112" s="61">
        <f t="shared" ref="H112:M112" si="104">H111/H11</f>
        <v>279.70118936821603</v>
      </c>
      <c r="I112" s="204">
        <f t="shared" si="104"/>
        <v>249.45958311160589</v>
      </c>
      <c r="J112" s="61"/>
      <c r="K112" s="61"/>
      <c r="L112" s="174">
        <f t="shared" si="104"/>
        <v>256.80219149382464</v>
      </c>
      <c r="M112" s="174">
        <f t="shared" si="104"/>
        <v>264.36214108415709</v>
      </c>
    </row>
    <row r="113" spans="1:13" x14ac:dyDescent="0.25">
      <c r="A113" s="9">
        <v>11</v>
      </c>
      <c r="B113" s="149" t="s">
        <v>53</v>
      </c>
      <c r="C113" s="149" t="s">
        <v>54</v>
      </c>
      <c r="D113" s="150">
        <f>D110/D11</f>
        <v>239.47694105204565</v>
      </c>
      <c r="E113" s="150">
        <f>E110/E11</f>
        <v>241.4474015029223</v>
      </c>
      <c r="F113" s="150">
        <f>F110/F11</f>
        <v>0.96694105424552135</v>
      </c>
      <c r="G113" s="150">
        <f>G110/G11</f>
        <v>251.21778224325075</v>
      </c>
      <c r="H113" s="150">
        <f t="shared" ref="H113:I113" si="105">H110/H11</f>
        <v>293.54477411633735</v>
      </c>
      <c r="I113" s="211">
        <f t="shared" si="105"/>
        <v>259.25828892847198</v>
      </c>
      <c r="J113" s="150"/>
      <c r="K113" s="150"/>
      <c r="L113" s="182">
        <f>L110/L11</f>
        <v>266.86870972371611</v>
      </c>
      <c r="M113" s="182">
        <f>M110/M11</f>
        <v>274.73063537861862</v>
      </c>
    </row>
    <row r="114" spans="1:13" x14ac:dyDescent="0.25">
      <c r="A114" s="151">
        <v>12</v>
      </c>
      <c r="B114" s="152" t="s">
        <v>18</v>
      </c>
      <c r="C114" s="84" t="s">
        <v>19</v>
      </c>
      <c r="D114" s="65"/>
      <c r="E114" s="65"/>
      <c r="F114" s="65"/>
      <c r="G114" s="65"/>
      <c r="H114" s="65">
        <f>H113/G113*100</f>
        <v>116.84872443945945</v>
      </c>
      <c r="I114" s="212">
        <f>I113/G113*100</f>
        <v>103.20061207985496</v>
      </c>
      <c r="J114" s="65"/>
      <c r="K114" s="46"/>
      <c r="L114" s="183">
        <f>L113/I113*100</f>
        <v>102.93545900757827</v>
      </c>
      <c r="M114" s="183">
        <f>M113/L113*100</f>
        <v>102.94599005744878</v>
      </c>
    </row>
    <row r="115" spans="1:13" x14ac:dyDescent="0.25">
      <c r="A115" s="153"/>
      <c r="B115" s="149" t="s">
        <v>197</v>
      </c>
      <c r="C115" s="84"/>
      <c r="D115" s="65">
        <f>D110/D20</f>
        <v>958.17444231625836</v>
      </c>
      <c r="E115" s="65">
        <f>E110/E20</f>
        <v>966.05847839643639</v>
      </c>
      <c r="F115" s="65"/>
      <c r="G115" s="61">
        <f>G110/(G11*0.118)</f>
        <v>2128.9642562987356</v>
      </c>
      <c r="H115" s="61">
        <f>H110/(H11*0.118)</f>
        <v>2487.6675772570966</v>
      </c>
      <c r="I115" s="204">
        <f t="shared" ref="I115" si="106">I110/I20</f>
        <v>2197.1041434616272</v>
      </c>
      <c r="J115" s="61"/>
      <c r="K115" s="46"/>
      <c r="L115" s="204">
        <f t="shared" ref="L115:M115" si="107">L110/L20</f>
        <v>2261.5992349467469</v>
      </c>
      <c r="M115" s="204">
        <f t="shared" si="107"/>
        <v>2328.2257235476154</v>
      </c>
    </row>
    <row r="116" spans="1:13" x14ac:dyDescent="0.25">
      <c r="A116" s="153"/>
      <c r="B116" s="152" t="s">
        <v>18</v>
      </c>
      <c r="C116" s="84"/>
      <c r="D116" s="65"/>
      <c r="E116" s="65"/>
      <c r="F116" s="65"/>
      <c r="G116" s="65"/>
      <c r="H116" s="65"/>
      <c r="I116" s="212"/>
      <c r="J116" s="154"/>
      <c r="K116" s="46"/>
      <c r="L116" s="183"/>
      <c r="M116" s="183"/>
    </row>
    <row r="117" spans="1:13" x14ac:dyDescent="0.25">
      <c r="A117" s="153"/>
      <c r="B117" s="152" t="s">
        <v>199</v>
      </c>
      <c r="C117" s="84"/>
      <c r="D117" s="65"/>
      <c r="E117" s="65"/>
      <c r="F117" s="65"/>
      <c r="G117" s="65"/>
      <c r="H117" s="65"/>
      <c r="I117" s="213">
        <v>1</v>
      </c>
      <c r="J117" s="65"/>
      <c r="K117" s="46"/>
      <c r="L117" s="184">
        <v>1</v>
      </c>
      <c r="M117" s="184">
        <v>1</v>
      </c>
    </row>
    <row r="118" spans="1:13" x14ac:dyDescent="0.25">
      <c r="B118" s="155" t="s">
        <v>57</v>
      </c>
      <c r="C118" s="156" t="s">
        <v>6</v>
      </c>
      <c r="D118" s="157"/>
      <c r="E118" s="157"/>
      <c r="F118" s="158"/>
      <c r="G118" s="157"/>
      <c r="H118" s="157"/>
      <c r="I118" s="214">
        <v>4.7</v>
      </c>
      <c r="J118" s="79"/>
      <c r="K118" s="159"/>
      <c r="L118" s="185">
        <v>4</v>
      </c>
      <c r="M118" s="185">
        <v>4</v>
      </c>
    </row>
    <row r="119" spans="1:13" x14ac:dyDescent="0.25">
      <c r="B119" s="155" t="s">
        <v>58</v>
      </c>
      <c r="C119" s="156"/>
      <c r="D119" s="157"/>
      <c r="E119" s="157"/>
      <c r="F119" s="158"/>
      <c r="G119" s="157"/>
      <c r="H119" s="157"/>
      <c r="I119" s="214">
        <v>0</v>
      </c>
      <c r="J119" s="79"/>
      <c r="K119" s="159"/>
      <c r="L119" s="185">
        <v>0</v>
      </c>
      <c r="M119" s="185">
        <v>0</v>
      </c>
    </row>
    <row r="120" spans="1:13" x14ac:dyDescent="0.25">
      <c r="B120" s="155" t="s">
        <v>59</v>
      </c>
      <c r="C120" s="156" t="s">
        <v>6</v>
      </c>
      <c r="D120" s="160"/>
      <c r="E120" s="160"/>
      <c r="F120" s="161"/>
      <c r="G120" s="160"/>
      <c r="H120" s="160"/>
      <c r="I120" s="214"/>
      <c r="J120" s="79"/>
      <c r="K120" s="159"/>
      <c r="L120" s="185"/>
      <c r="M120" s="185"/>
    </row>
    <row r="121" spans="1:13" x14ac:dyDescent="0.25">
      <c r="A121" s="216"/>
      <c r="B121" s="216" t="s">
        <v>60</v>
      </c>
      <c r="C121" s="216"/>
      <c r="D121" s="186"/>
      <c r="E121" s="186"/>
      <c r="F121" s="217"/>
      <c r="G121" s="216"/>
      <c r="H121" s="216"/>
      <c r="I121" s="11">
        <f>I11*0.5*G113+I11*0.5*I113</f>
        <v>9170.7026186000003</v>
      </c>
      <c r="L121" s="11">
        <f>L11*0.5*I113+L11*0.5*L113</f>
        <v>9451.8715307865605</v>
      </c>
      <c r="M121" s="11">
        <f>M11*0.5*L113+M11*0.5*M113</f>
        <v>9729.8322347634439</v>
      </c>
    </row>
    <row r="122" spans="1:13" ht="15.75" hidden="1" customHeight="1" x14ac:dyDescent="0.25">
      <c r="A122" s="216"/>
      <c r="B122" s="216" t="s">
        <v>61</v>
      </c>
      <c r="C122" s="216"/>
      <c r="D122" s="216" t="e">
        <f>D121/#REF!</f>
        <v>#REF!</v>
      </c>
      <c r="E122" s="216"/>
      <c r="F122" s="218"/>
      <c r="G122" s="216"/>
      <c r="H122" s="216"/>
      <c r="I122" s="6" t="e">
        <f>I121/#REF!</f>
        <v>#REF!</v>
      </c>
      <c r="J122" s="162"/>
      <c r="L122" s="186" t="e">
        <f>L121/#REF!</f>
        <v>#REF!</v>
      </c>
      <c r="M122" s="186" t="e">
        <f>M121/#REF!</f>
        <v>#REF!</v>
      </c>
    </row>
    <row r="123" spans="1:13" x14ac:dyDescent="0.25">
      <c r="A123" s="216"/>
      <c r="B123" s="216" t="s">
        <v>210</v>
      </c>
      <c r="C123" s="216"/>
      <c r="D123" s="216"/>
      <c r="E123" s="216"/>
      <c r="F123" s="218"/>
      <c r="G123" s="216"/>
      <c r="H123" s="216"/>
      <c r="I123" s="234">
        <f>I110*1%</f>
        <v>93.151503211999994</v>
      </c>
      <c r="J123" s="234"/>
      <c r="K123" s="234"/>
      <c r="L123" s="234">
        <f>L110*1%</f>
        <v>95.885927403731202</v>
      </c>
      <c r="M123" s="234">
        <f>M110*1%</f>
        <v>98.710717291537662</v>
      </c>
    </row>
    <row r="124" spans="1:13" hidden="1" x14ac:dyDescent="0.25">
      <c r="A124" s="162" t="s">
        <v>211</v>
      </c>
      <c r="B124" s="162" t="s">
        <v>212</v>
      </c>
      <c r="C124" s="162"/>
      <c r="D124" s="162"/>
      <c r="E124" s="162"/>
      <c r="F124" s="235"/>
      <c r="G124" s="162"/>
      <c r="H124" s="162"/>
      <c r="I124" s="236">
        <f>I11*0.5*G113</f>
        <v>4513.1274579999999</v>
      </c>
      <c r="J124" s="162"/>
      <c r="K124" s="162"/>
      <c r="L124" s="236">
        <f>L11*0.5*I126</f>
        <v>4802.0228631999989</v>
      </c>
      <c r="M124" s="236">
        <f>M11*0.5*L126</f>
        <v>4786.5698771731213</v>
      </c>
    </row>
    <row r="125" spans="1:13" hidden="1" x14ac:dyDescent="0.25">
      <c r="A125" s="162"/>
      <c r="B125" s="162" t="s">
        <v>213</v>
      </c>
      <c r="C125" s="162"/>
      <c r="D125" s="162"/>
      <c r="E125" s="162"/>
      <c r="F125" s="235"/>
      <c r="G125" s="162"/>
      <c r="H125" s="162"/>
      <c r="I125" s="236">
        <f>I110-I124</f>
        <v>4802.0228631999989</v>
      </c>
      <c r="J125" s="162"/>
      <c r="K125" s="162"/>
      <c r="L125" s="236">
        <f>L110-L124</f>
        <v>4786.5698771731213</v>
      </c>
      <c r="M125" s="236">
        <f>M110-M124</f>
        <v>5084.5018519806445</v>
      </c>
    </row>
    <row r="126" spans="1:13" hidden="1" x14ac:dyDescent="0.25">
      <c r="A126" s="162"/>
      <c r="B126" s="162" t="s">
        <v>214</v>
      </c>
      <c r="C126" s="162"/>
      <c r="D126" s="162"/>
      <c r="E126" s="162"/>
      <c r="F126" s="235"/>
      <c r="G126" s="162"/>
      <c r="H126" s="162"/>
      <c r="I126" s="236">
        <f>I125/(I11*0.5)</f>
        <v>267.29879561369324</v>
      </c>
      <c r="J126" s="236">
        <f>I11*0.5*251.22+I11*0.5*277.06</f>
        <v>9490.5501999999997</v>
      </c>
      <c r="K126" s="162"/>
      <c r="L126" s="236">
        <f>L125/(L11*0.5)</f>
        <v>266.43862383373903</v>
      </c>
      <c r="M126" s="236">
        <f>M125/(M11*0.5)</f>
        <v>283.02264692349814</v>
      </c>
    </row>
    <row r="127" spans="1:13" hidden="1" x14ac:dyDescent="0.25">
      <c r="A127" s="162"/>
      <c r="B127" s="162" t="s">
        <v>215</v>
      </c>
      <c r="C127" s="162"/>
      <c r="D127" s="162"/>
      <c r="E127" s="162"/>
      <c r="F127" s="235"/>
      <c r="G127" s="162"/>
      <c r="H127" s="162"/>
      <c r="I127" s="237">
        <f>I126/G113*100</f>
        <v>106.40122415970994</v>
      </c>
      <c r="J127" s="162"/>
      <c r="K127" s="162"/>
      <c r="L127" s="237">
        <f>L126/I126*100</f>
        <v>99.678198407898037</v>
      </c>
      <c r="M127" s="237">
        <f>M126/L126*100</f>
        <v>106.2243314618333</v>
      </c>
    </row>
    <row r="128" spans="1:13" hidden="1" x14ac:dyDescent="0.25">
      <c r="A128" s="162" t="s">
        <v>216</v>
      </c>
      <c r="B128" s="162" t="s">
        <v>212</v>
      </c>
      <c r="C128" s="162"/>
      <c r="D128" s="162"/>
      <c r="E128" s="162"/>
      <c r="F128" s="235"/>
      <c r="G128" s="162"/>
      <c r="H128" s="162"/>
      <c r="I128" s="236">
        <f>I20*0.5*G115</f>
        <v>4513.1274579999999</v>
      </c>
      <c r="J128" s="162"/>
      <c r="K128" s="162"/>
      <c r="L128" s="162"/>
      <c r="M128" s="162"/>
    </row>
    <row r="129" spans="1:13" hidden="1" x14ac:dyDescent="0.25">
      <c r="A129" s="162"/>
      <c r="B129" s="162" t="s">
        <v>213</v>
      </c>
      <c r="C129" s="162"/>
      <c r="D129" s="162"/>
      <c r="E129" s="162"/>
      <c r="F129" s="235"/>
      <c r="G129" s="162"/>
      <c r="H129" s="162"/>
      <c r="I129" s="236">
        <f>I110-I128</f>
        <v>4802.0228631999989</v>
      </c>
      <c r="J129" s="162"/>
      <c r="K129" s="162"/>
      <c r="L129" s="162"/>
      <c r="M129" s="162"/>
    </row>
    <row r="130" spans="1:13" hidden="1" x14ac:dyDescent="0.25">
      <c r="A130" s="162"/>
      <c r="B130" s="162" t="s">
        <v>214</v>
      </c>
      <c r="C130" s="162"/>
      <c r="D130" s="162"/>
      <c r="E130" s="162"/>
      <c r="F130" s="235"/>
      <c r="G130" s="162"/>
      <c r="H130" s="162"/>
      <c r="I130" s="236">
        <f>I129/(I20*0.5)</f>
        <v>2265.2440306245194</v>
      </c>
      <c r="J130" s="162"/>
      <c r="K130" s="162"/>
      <c r="L130" s="162"/>
      <c r="M130" s="162"/>
    </row>
    <row r="131" spans="1:13" hidden="1" x14ac:dyDescent="0.25">
      <c r="A131" s="162"/>
      <c r="B131" s="162" t="s">
        <v>215</v>
      </c>
      <c r="C131" s="162"/>
      <c r="D131" s="162"/>
      <c r="E131" s="162"/>
      <c r="F131" s="235"/>
      <c r="G131" s="162"/>
      <c r="H131" s="162"/>
      <c r="I131" s="237">
        <f>I130/G115*100</f>
        <v>106.40122415970994</v>
      </c>
      <c r="J131" s="162"/>
      <c r="K131" s="162"/>
      <c r="L131" s="162"/>
      <c r="M131" s="162"/>
    </row>
    <row r="132" spans="1:13" x14ac:dyDescent="0.25">
      <c r="A132" s="162"/>
      <c r="B132" s="162"/>
      <c r="C132" s="162"/>
      <c r="D132" s="162"/>
      <c r="E132" s="162"/>
      <c r="F132" s="235"/>
      <c r="G132" s="162"/>
      <c r="H132" s="162"/>
      <c r="I132" s="237"/>
      <c r="J132" s="162"/>
      <c r="K132" s="162"/>
      <c r="L132" s="162"/>
      <c r="M132" s="162"/>
    </row>
    <row r="133" spans="1:13" x14ac:dyDescent="0.25">
      <c r="A133" s="216"/>
      <c r="B133" s="232" t="s">
        <v>217</v>
      </c>
      <c r="C133" s="233"/>
      <c r="D133" s="233"/>
      <c r="E133" s="233"/>
      <c r="F133" s="233"/>
      <c r="G133" s="233"/>
      <c r="H133" s="233"/>
    </row>
  </sheetData>
  <mergeCells count="2">
    <mergeCell ref="A2:J2"/>
    <mergeCell ref="B133:H133"/>
  </mergeCells>
  <pageMargins left="0.70866141732283472" right="0" top="0.39370078740157483" bottom="0" header="0.31496062992125984" footer="0.31496062992125984"/>
  <pageSetup paperSize="9" scale="62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Объем ТКО</vt:lpstr>
      <vt:lpstr>тариф ТКО 2017-2019 (индекс.)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Поляницкая Галина Ивановна</dc:creator>
  <cp:lastModifiedBy>Лугакова</cp:lastModifiedBy>
  <cp:lastPrinted>2016-11-29T04:31:50Z</cp:lastPrinted>
  <dcterms:created xsi:type="dcterms:W3CDTF">2014-03-25T05:10:03Z</dcterms:created>
  <dcterms:modified xsi:type="dcterms:W3CDTF">2016-11-29T04:34:37Z</dcterms:modified>
</cp:coreProperties>
</file>